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Q:\DG\GDG\_Compartilhado\Processo de aquisições\2025\"/>
    </mc:Choice>
  </mc:AlternateContent>
  <xr:revisionPtr revIDLastSave="0" documentId="8_{7E4A00E4-A768-412D-AA04-E5F96EC2260B}" xr6:coauthVersionLast="47" xr6:coauthVersionMax="47" xr10:uidLastSave="{00000000-0000-0000-0000-000000000000}"/>
  <bookViews>
    <workbookView xWindow="-120" yWindow="-120" windowWidth="29040" windowHeight="15840" xr2:uid="{00000000-000D-0000-FFFF-FFFF00000000}"/>
  </bookViews>
  <sheets>
    <sheet name="PCA" sheetId="2" r:id="rId1"/>
    <sheet name="Detalhamento fracionamento" sheetId="5" r:id="rId2"/>
    <sheet name="Resumo por unidade" sheetId="3" r:id="rId3"/>
  </sheets>
  <definedNames>
    <definedName name="_xlnm._FilterDatabase" localSheetId="1" hidden="1">'Detalhamento fracionamento'!$B$8:$U$34</definedName>
    <definedName name="_xlnm._FilterDatabase" localSheetId="0" hidden="1">PCA!$B$8:$W$260</definedName>
    <definedName name="_xlnm._FilterDatabase" localSheetId="2" hidden="1">'Resumo por unidade'!$H$23:$K$215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9" i="2" l="1"/>
  <c r="I78" i="2"/>
  <c r="I177" i="3"/>
  <c r="K177" i="3" s="1"/>
  <c r="I9" i="5" l="1"/>
  <c r="A55" i="5"/>
  <c r="I16" i="2"/>
  <c r="I21" i="2"/>
  <c r="I52" i="3" l="1"/>
  <c r="K52" i="3" s="1"/>
  <c r="I54" i="5"/>
  <c r="A54" i="5"/>
  <c r="I173" i="3"/>
  <c r="K173" i="3" s="1"/>
  <c r="I34" i="2"/>
  <c r="I26" i="5"/>
  <c r="I25" i="5"/>
  <c r="I12" i="5"/>
  <c r="I11" i="5"/>
  <c r="I102" i="2"/>
  <c r="I114" i="2" l="1"/>
  <c r="I222" i="2"/>
  <c r="J9" i="3"/>
  <c r="J8" i="3"/>
  <c r="I231" i="2" l="1"/>
  <c r="I229" i="2"/>
  <c r="I29" i="2"/>
  <c r="I26" i="2"/>
  <c r="I166" i="3" l="1"/>
  <c r="K166" i="3" s="1"/>
  <c r="I235" i="2"/>
  <c r="I83" i="2"/>
  <c r="I82" i="2" l="1"/>
  <c r="I81" i="2"/>
  <c r="I56" i="3" l="1"/>
  <c r="K56" i="3" s="1"/>
  <c r="I11" i="2"/>
  <c r="I10" i="2"/>
  <c r="I48" i="3"/>
  <c r="K48" i="3" s="1"/>
  <c r="I60" i="3"/>
  <c r="K60" i="3" s="1"/>
  <c r="I32" i="3"/>
  <c r="K32" i="3" s="1"/>
  <c r="I24" i="3"/>
  <c r="K24" i="3" s="1"/>
  <c r="I25" i="3"/>
  <c r="K25" i="3" s="1"/>
  <c r="I34" i="3"/>
  <c r="K34" i="3" s="1"/>
  <c r="I49" i="3"/>
  <c r="K49" i="3" s="1"/>
  <c r="I29" i="3"/>
  <c r="K29" i="3" s="1"/>
  <c r="A45" i="5" l="1"/>
  <c r="A53" i="5"/>
  <c r="A52" i="5"/>
  <c r="A48" i="5"/>
  <c r="A51" i="5"/>
  <c r="A47" i="5"/>
  <c r="A50" i="5"/>
  <c r="A46" i="5"/>
  <c r="A49" i="5"/>
  <c r="I51" i="2"/>
  <c r="I188" i="2"/>
  <c r="I187" i="2"/>
  <c r="A43" i="5"/>
  <c r="I102" i="3"/>
  <c r="K102" i="3" s="1"/>
  <c r="I50" i="2"/>
  <c r="I46" i="3"/>
  <c r="K46" i="3" s="1"/>
  <c r="I124" i="3"/>
  <c r="K124" i="3" s="1"/>
  <c r="I109" i="3"/>
  <c r="K109" i="3" s="1"/>
  <c r="A41" i="5"/>
  <c r="A42" i="5"/>
  <c r="I109" i="2"/>
  <c r="I110" i="2"/>
  <c r="I49" i="2" l="1"/>
  <c r="I179" i="3" l="1"/>
  <c r="K179" i="3" s="1"/>
  <c r="A44" i="5"/>
  <c r="I37" i="3"/>
  <c r="K37" i="3" s="1"/>
  <c r="A40" i="5"/>
  <c r="I95" i="3"/>
  <c r="K95" i="3" s="1"/>
  <c r="A39" i="5"/>
  <c r="I232" i="2"/>
  <c r="I24" i="5" l="1"/>
  <c r="I23" i="5"/>
  <c r="I22" i="5"/>
  <c r="I21" i="5"/>
  <c r="I20" i="5"/>
  <c r="I19" i="5"/>
  <c r="I46" i="2"/>
  <c r="I228" i="2"/>
  <c r="I133" i="3"/>
  <c r="K133" i="3" s="1"/>
  <c r="I97" i="3"/>
  <c r="K97" i="3" s="1"/>
  <c r="A38" i="5"/>
  <c r="I54" i="2"/>
  <c r="I60" i="2"/>
  <c r="I101" i="2"/>
  <c r="I38" i="2"/>
  <c r="I162" i="3"/>
  <c r="K162" i="3" s="1"/>
  <c r="I18" i="5" l="1"/>
  <c r="I17" i="5"/>
  <c r="I16" i="5"/>
  <c r="I15" i="5"/>
  <c r="I14" i="5"/>
  <c r="I13" i="5"/>
  <c r="I105" i="3" l="1"/>
  <c r="I151" i="3"/>
  <c r="I112" i="3"/>
  <c r="I77" i="3"/>
  <c r="I68" i="3"/>
  <c r="I138" i="3"/>
  <c r="I154" i="3"/>
  <c r="I156" i="3"/>
  <c r="I136" i="3"/>
  <c r="I143" i="3"/>
  <c r="I108" i="3"/>
  <c r="I146" i="3"/>
  <c r="I139" i="3"/>
  <c r="I152" i="3"/>
  <c r="I161" i="3"/>
  <c r="I130" i="3"/>
  <c r="I92" i="3"/>
  <c r="I164" i="3"/>
  <c r="I85" i="3"/>
  <c r="I121" i="3"/>
  <c r="I90" i="3"/>
  <c r="I40" i="3"/>
  <c r="I165" i="3"/>
  <c r="I98" i="3"/>
  <c r="I116" i="3"/>
  <c r="I100" i="3"/>
  <c r="I73" i="3"/>
  <c r="I89" i="3"/>
  <c r="I27" i="3"/>
  <c r="I43" i="3"/>
  <c r="I176" i="3"/>
  <c r="K176" i="3" s="1"/>
  <c r="I114" i="3"/>
  <c r="I42" i="3"/>
  <c r="I180" i="3"/>
  <c r="K180" i="3" s="1"/>
  <c r="I104" i="3"/>
  <c r="I158" i="3"/>
  <c r="I103" i="3"/>
  <c r="I132" i="3"/>
  <c r="I169" i="3"/>
  <c r="I38" i="3"/>
  <c r="I84" i="3"/>
  <c r="I76" i="3"/>
  <c r="I174" i="3"/>
  <c r="I69" i="3"/>
  <c r="I131" i="3"/>
  <c r="I178" i="3"/>
  <c r="K178" i="3" s="1"/>
  <c r="A10" i="5"/>
  <c r="A13" i="5"/>
  <c r="A14" i="5"/>
  <c r="A15" i="5"/>
  <c r="A16" i="5"/>
  <c r="A17" i="5"/>
  <c r="A18" i="5"/>
  <c r="A19" i="5"/>
  <c r="A20" i="5"/>
  <c r="A21" i="5"/>
  <c r="A22" i="5"/>
  <c r="A23" i="5"/>
  <c r="A24" i="5"/>
  <c r="A35" i="5"/>
  <c r="A36" i="5"/>
  <c r="A37" i="5"/>
  <c r="I28" i="3"/>
  <c r="I30" i="3"/>
  <c r="I31" i="3"/>
  <c r="I35" i="3"/>
  <c r="I36" i="3"/>
  <c r="I39" i="3"/>
  <c r="I47" i="3"/>
  <c r="I50" i="3"/>
  <c r="I51" i="3"/>
  <c r="I53" i="3"/>
  <c r="I54" i="3"/>
  <c r="I55" i="3"/>
  <c r="I57" i="3"/>
  <c r="I58" i="3"/>
  <c r="I59" i="3"/>
  <c r="I62" i="3"/>
  <c r="I65" i="3"/>
  <c r="I66" i="3"/>
  <c r="I67" i="3"/>
  <c r="I70" i="3"/>
  <c r="I71" i="3"/>
  <c r="I74" i="3"/>
  <c r="I75" i="3"/>
  <c r="I80" i="3"/>
  <c r="I83" i="3"/>
  <c r="I86" i="3"/>
  <c r="I87" i="3"/>
  <c r="I88" i="3"/>
  <c r="I91" i="3"/>
  <c r="I93" i="3"/>
  <c r="I94" i="3"/>
  <c r="I96" i="3"/>
  <c r="I99" i="3"/>
  <c r="I101" i="3"/>
  <c r="I106" i="3"/>
  <c r="I110" i="3"/>
  <c r="I111" i="3"/>
  <c r="I113" i="3"/>
  <c r="I115" i="3"/>
  <c r="I117" i="3"/>
  <c r="I118" i="3"/>
  <c r="I119" i="3"/>
  <c r="I122" i="3"/>
  <c r="I123" i="3"/>
  <c r="I125" i="3"/>
  <c r="I126" i="3"/>
  <c r="I127" i="3"/>
  <c r="I128" i="3"/>
  <c r="I129" i="3"/>
  <c r="I134" i="3"/>
  <c r="I137" i="3"/>
  <c r="I140" i="3"/>
  <c r="I141" i="3"/>
  <c r="I142" i="3"/>
  <c r="I144" i="3"/>
  <c r="I145" i="3"/>
  <c r="I147" i="3"/>
  <c r="I148" i="3"/>
  <c r="I149" i="3"/>
  <c r="I150" i="3"/>
  <c r="I153" i="3"/>
  <c r="I155" i="3"/>
  <c r="I157" i="3"/>
  <c r="I159" i="3"/>
  <c r="I163" i="3"/>
  <c r="I167" i="3"/>
  <c r="I168" i="3"/>
  <c r="I170" i="3"/>
  <c r="I171" i="3"/>
  <c r="I172" i="3"/>
  <c r="I175" i="3"/>
  <c r="I26" i="3"/>
  <c r="A9" i="5"/>
  <c r="I34" i="5"/>
  <c r="I72" i="3" s="1"/>
  <c r="I33" i="5"/>
  <c r="I63" i="3" s="1"/>
  <c r="I32" i="5"/>
  <c r="I64" i="3" s="1"/>
  <c r="I31" i="5"/>
  <c r="I41" i="3" s="1"/>
  <c r="I30" i="5"/>
  <c r="I78" i="3" s="1"/>
  <c r="I29" i="5"/>
  <c r="I44" i="3" s="1"/>
  <c r="I28" i="5"/>
  <c r="I79" i="3" s="1"/>
  <c r="I27" i="5"/>
  <c r="I33" i="3"/>
  <c r="I81" i="3"/>
  <c r="I7" i="5" l="1"/>
  <c r="A30" i="5"/>
  <c r="A26" i="5"/>
  <c r="A25" i="5"/>
  <c r="A33" i="5"/>
  <c r="I82" i="3"/>
  <c r="A32" i="5"/>
  <c r="A28" i="5"/>
  <c r="A12" i="5"/>
  <c r="I61" i="3"/>
  <c r="I45" i="3"/>
  <c r="A31" i="5"/>
  <c r="A27" i="5"/>
  <c r="A11" i="5"/>
  <c r="A29" i="5"/>
  <c r="A34" i="5"/>
  <c r="K113" i="3"/>
  <c r="I96" i="2"/>
  <c r="I107" i="3" s="1"/>
  <c r="J87" i="3"/>
  <c r="K54" i="3"/>
  <c r="I43" i="2"/>
  <c r="I24" i="2"/>
  <c r="J86" i="3"/>
  <c r="K150" i="3"/>
  <c r="K151" i="3"/>
  <c r="K152" i="3"/>
  <c r="K153" i="3"/>
  <c r="K154" i="3"/>
  <c r="K155" i="3"/>
  <c r="K156" i="3"/>
  <c r="K157" i="3"/>
  <c r="K158" i="3"/>
  <c r="K159" i="3"/>
  <c r="K161" i="3"/>
  <c r="K163" i="3"/>
  <c r="K164" i="3"/>
  <c r="K165" i="3"/>
  <c r="K167" i="3"/>
  <c r="K168" i="3"/>
  <c r="K169" i="3"/>
  <c r="K170" i="3"/>
  <c r="K171" i="3"/>
  <c r="K172" i="3"/>
  <c r="K174" i="3"/>
  <c r="K175" i="3"/>
  <c r="I135" i="3" l="1"/>
  <c r="K87" i="3"/>
  <c r="I112" i="2"/>
  <c r="K103" i="3"/>
  <c r="I215" i="2" l="1"/>
  <c r="I160" i="3" s="1"/>
  <c r="I206" i="2"/>
  <c r="I205" i="2"/>
  <c r="I120" i="3" l="1"/>
  <c r="I22" i="3" s="1"/>
  <c r="K160" i="3"/>
  <c r="I197" i="2"/>
  <c r="I196" i="2"/>
  <c r="I195" i="2"/>
  <c r="I121" i="2"/>
  <c r="I118" i="2"/>
  <c r="K79" i="3" l="1"/>
  <c r="K30" i="3"/>
  <c r="K55" i="3"/>
  <c r="K112" i="3"/>
  <c r="K76" i="3"/>
  <c r="K134" i="3"/>
  <c r="K101" i="3"/>
  <c r="K78" i="3"/>
  <c r="K90" i="3"/>
  <c r="K92" i="3"/>
  <c r="K82" i="3"/>
  <c r="K96" i="3"/>
  <c r="K73" i="3"/>
  <c r="K57" i="3"/>
  <c r="K127" i="3"/>
  <c r="K129" i="3"/>
  <c r="K88" i="3"/>
  <c r="K40" i="3"/>
  <c r="K35" i="3"/>
  <c r="K62" i="3"/>
  <c r="K94" i="3"/>
  <c r="K111" i="3"/>
  <c r="K51" i="3"/>
  <c r="K123" i="3"/>
  <c r="K50" i="3"/>
  <c r="K117" i="3"/>
  <c r="K130" i="3"/>
  <c r="K119" i="3"/>
  <c r="K121" i="3"/>
  <c r="K115" i="3"/>
  <c r="K100" i="3"/>
  <c r="K131" i="3"/>
  <c r="K84" i="3"/>
  <c r="K120" i="3"/>
  <c r="K126" i="3"/>
  <c r="K118" i="3"/>
  <c r="K86" i="3"/>
  <c r="K132" i="3"/>
  <c r="K93" i="3"/>
  <c r="K128" i="3"/>
  <c r="K122" i="3"/>
  <c r="K125" i="3"/>
  <c r="K45" i="3"/>
  <c r="K106" i="3"/>
  <c r="K136" i="3"/>
  <c r="K105" i="3"/>
  <c r="K71" i="3"/>
  <c r="K83" i="3"/>
  <c r="K42" i="3"/>
  <c r="K47" i="3"/>
  <c r="K137" i="3"/>
  <c r="K114" i="3"/>
  <c r="K116" i="3"/>
  <c r="K66" i="3"/>
  <c r="K139" i="3"/>
  <c r="K98" i="3"/>
  <c r="K69" i="3"/>
  <c r="K36" i="3"/>
  <c r="K138" i="3"/>
  <c r="K85" i="3"/>
  <c r="K143" i="3"/>
  <c r="K91" i="3"/>
  <c r="K58" i="3"/>
  <c r="K146" i="3"/>
  <c r="K27" i="3"/>
  <c r="K39" i="3"/>
  <c r="K147" i="3"/>
  <c r="K148" i="3"/>
  <c r="K74" i="3"/>
  <c r="K89" i="3"/>
  <c r="K38" i="3"/>
  <c r="K149" i="3"/>
  <c r="K80" i="3"/>
  <c r="K59" i="3"/>
  <c r="K31" i="3"/>
  <c r="K28" i="3"/>
  <c r="K142" i="3"/>
  <c r="K64" i="3"/>
  <c r="K110" i="3"/>
  <c r="K141" i="3"/>
  <c r="K63" i="3"/>
  <c r="K33" i="3"/>
  <c r="K65" i="3"/>
  <c r="K144" i="3"/>
  <c r="K43" i="3"/>
  <c r="K44" i="3"/>
  <c r="K26" i="3"/>
  <c r="K61" i="3"/>
  <c r="K67" i="3"/>
  <c r="K145" i="3"/>
  <c r="K53" i="3"/>
  <c r="K41" i="3"/>
  <c r="K70" i="3"/>
  <c r="K108" i="3"/>
  <c r="K81" i="3"/>
  <c r="D12" i="3"/>
  <c r="D11" i="3"/>
  <c r="D10" i="3"/>
  <c r="D9" i="3"/>
  <c r="D8" i="3"/>
  <c r="D6" i="3"/>
  <c r="D28" i="3"/>
  <c r="D27" i="3"/>
  <c r="D26" i="3"/>
  <c r="D25" i="3"/>
  <c r="D24" i="3"/>
  <c r="D23" i="3"/>
  <c r="D22" i="3"/>
  <c r="D21" i="3"/>
  <c r="D20" i="3"/>
  <c r="D19" i="3"/>
  <c r="D18" i="3"/>
  <c r="E28" i="3"/>
  <c r="E27" i="3"/>
  <c r="E26" i="3"/>
  <c r="E25" i="3"/>
  <c r="E24" i="3"/>
  <c r="E23" i="3"/>
  <c r="E22" i="3"/>
  <c r="E21" i="3"/>
  <c r="E20" i="3"/>
  <c r="E19" i="3"/>
  <c r="E18" i="3"/>
  <c r="E17" i="3"/>
  <c r="E12" i="3"/>
  <c r="E11" i="3"/>
  <c r="E10" i="3"/>
  <c r="E9" i="3"/>
  <c r="E8" i="3"/>
  <c r="E7" i="3"/>
  <c r="J6" i="3"/>
  <c r="I6" i="3"/>
  <c r="E6" i="3"/>
  <c r="K99" i="3" l="1"/>
  <c r="F21" i="3"/>
  <c r="F25" i="3"/>
  <c r="I4" i="3"/>
  <c r="E4" i="3"/>
  <c r="F23" i="3"/>
  <c r="E15" i="3"/>
  <c r="F18" i="3"/>
  <c r="F22" i="3"/>
  <c r="F26" i="3"/>
  <c r="F9" i="3"/>
  <c r="F12" i="3"/>
  <c r="F8" i="3"/>
  <c r="F10" i="3"/>
  <c r="F11" i="3"/>
  <c r="F6" i="3"/>
  <c r="F20" i="3"/>
  <c r="F24" i="3"/>
  <c r="F27" i="3"/>
  <c r="F28" i="3"/>
  <c r="E13" i="3"/>
  <c r="F19" i="3"/>
  <c r="J4" i="3" l="1"/>
  <c r="I76" i="2" l="1"/>
  <c r="I73" i="2"/>
  <c r="I72" i="2"/>
  <c r="I66" i="2"/>
  <c r="K77" i="3" s="1"/>
  <c r="K68" i="3" l="1"/>
  <c r="K75" i="3"/>
  <c r="K104" i="3"/>
  <c r="K72" i="3"/>
  <c r="K140" i="3"/>
  <c r="K107" i="3"/>
  <c r="D17" i="3"/>
  <c r="F17" i="3" s="1"/>
  <c r="K135" i="3"/>
  <c r="D7" i="3"/>
  <c r="I7" i="2"/>
  <c r="D13" i="3" l="1"/>
  <c r="F13" i="3" s="1"/>
  <c r="F7" i="3"/>
  <c r="D15" i="3"/>
  <c r="D4" i="3" l="1"/>
</calcChain>
</file>

<file path=xl/sharedStrings.xml><?xml version="1.0" encoding="utf-8"?>
<sst xmlns="http://schemas.openxmlformats.org/spreadsheetml/2006/main" count="5074" uniqueCount="1075">
  <si>
    <t>CONSELHO NACIONAL DE JUSTIÇA</t>
  </si>
  <si>
    <t>PROPOSTA ORÇAMENTÁRIA 2025</t>
  </si>
  <si>
    <t>AÇÕES DISCRICIONÁRIAS 2025</t>
  </si>
  <si>
    <t>Item PCA</t>
  </si>
  <si>
    <t>Ação orçamentária</t>
  </si>
  <si>
    <t>Plano Orçamentário</t>
  </si>
  <si>
    <t>GND</t>
  </si>
  <si>
    <t>Natureza de despesa detalhada</t>
  </si>
  <si>
    <t>Unidade</t>
  </si>
  <si>
    <t>Demanda</t>
  </si>
  <si>
    <t>Captação 2025</t>
  </si>
  <si>
    <t>Justificativa</t>
  </si>
  <si>
    <t>UGR</t>
  </si>
  <si>
    <t>Alinhamento Estratégico</t>
  </si>
  <si>
    <t>Nova demanda?</t>
  </si>
  <si>
    <t>Gasto continuado?</t>
  </si>
  <si>
    <t>Tipo de contratação</t>
  </si>
  <si>
    <t>Processo SEI</t>
  </si>
  <si>
    <t>Nº do contrato, ata de registro de preço ou nota de empenho</t>
  </si>
  <si>
    <t>Data de referência</t>
  </si>
  <si>
    <t>Complexidade da contratação</t>
  </si>
  <si>
    <t>Classificação CATMAT / CATSER</t>
  </si>
  <si>
    <t>Dispensa em função do valor?</t>
  </si>
  <si>
    <t>Item único</t>
  </si>
  <si>
    <t>Item SIGEO</t>
  </si>
  <si>
    <t>21BH</t>
  </si>
  <si>
    <t>0001</t>
  </si>
  <si>
    <t>3.3.90.37.03</t>
  </si>
  <si>
    <t>SAD</t>
  </si>
  <si>
    <t>Prestação de serviços de vigilância</t>
  </si>
  <si>
    <t>Manter a segurança das instalações e da população do CNJ.</t>
  </si>
  <si>
    <t>040105 - SESIN</t>
  </si>
  <si>
    <t>XI</t>
  </si>
  <si>
    <t>Não</t>
  </si>
  <si>
    <t>Sim</t>
  </si>
  <si>
    <t>Somente execução</t>
  </si>
  <si>
    <t>05229/2024</t>
  </si>
  <si>
    <t>Contrato n. 22/2022</t>
  </si>
  <si>
    <t>n/a</t>
  </si>
  <si>
    <t>Alta</t>
  </si>
  <si>
    <t>CATSER - 23507</t>
  </si>
  <si>
    <t>3.3.90.37.07</t>
  </si>
  <si>
    <t>Prestação de serviços de brigadistas</t>
  </si>
  <si>
    <t>04639/2022</t>
  </si>
  <si>
    <t>Contrato n. 32/2022</t>
  </si>
  <si>
    <t>CATSER - 25550</t>
  </si>
  <si>
    <t>Licitação</t>
  </si>
  <si>
    <t>03741/2025</t>
  </si>
  <si>
    <t>3.3.90.36.28</t>
  </si>
  <si>
    <t>Cursos e Acordo de Cooperação ANP</t>
  </si>
  <si>
    <t>Aparelhar a Academia Nacional de Segurança do Poder Judiciário, fim realização de treinamento com baixo custo.</t>
  </si>
  <si>
    <t>CATSER - 17663</t>
  </si>
  <si>
    <t>3.3.90.39.77</t>
  </si>
  <si>
    <t>Atualização do Sistema de Segurança do CNJ</t>
  </si>
  <si>
    <t>Não iniciado</t>
  </si>
  <si>
    <t>CATSER - 14826</t>
  </si>
  <si>
    <t>3.3.90.30.23</t>
  </si>
  <si>
    <t>Aquisição de uniformes - Polícia Judicial</t>
  </si>
  <si>
    <t>Dar cumprimento ao que preconiza o artigo 8º da Resolução 344/2020</t>
  </si>
  <si>
    <t>Baixa</t>
  </si>
  <si>
    <t>CATMAT - PDM 17983</t>
  </si>
  <si>
    <t>Compra de Insumos para os cursos - ANSPJ</t>
  </si>
  <si>
    <t xml:space="preserve">Promover a capacitação contínua </t>
  </si>
  <si>
    <t>06342/2024</t>
  </si>
  <si>
    <t>4.4.90.52.06</t>
  </si>
  <si>
    <t>Aquisição de rádios comunicadores digitais</t>
  </si>
  <si>
    <t>Contratação Direta</t>
  </si>
  <si>
    <t>CATMAT - PDM 6732</t>
  </si>
  <si>
    <t/>
  </si>
  <si>
    <t>3.3.90.39.16</t>
  </si>
  <si>
    <t xml:space="preserve">Serviço de chaveiro com fornecimento de material </t>
  </si>
  <si>
    <t>Prorrogação</t>
  </si>
  <si>
    <t>11748/2023</t>
  </si>
  <si>
    <t>Contrato n. 19/2024</t>
  </si>
  <si>
    <t>CATSER - 5436</t>
  </si>
  <si>
    <t>3.3.90.39.19</t>
  </si>
  <si>
    <t>Personalização de viaturas da Polícia Judicial</t>
  </si>
  <si>
    <t>CATSER - 13625</t>
  </si>
  <si>
    <t>4.4.90.52.45</t>
  </si>
  <si>
    <t>Compra de Impressora - SmartCards</t>
  </si>
  <si>
    <t>Dar cumprimento ao que preconiza o artigo 11 da Instrução Normativa 02/2020 - "A SESIN é a unidade responsável pela confecção, distribuição e controle dos crachás de identificação."</t>
  </si>
  <si>
    <t>CATMAT - PDM 8309</t>
  </si>
  <si>
    <t>3.3.90.30.44</t>
  </si>
  <si>
    <t>Compra de Insumos para confecção de crachás</t>
  </si>
  <si>
    <t>CATMAT - PDM 10833</t>
  </si>
  <si>
    <t>4.4.90.52.24</t>
  </si>
  <si>
    <t>Compra de Cofre para guarda de armamento</t>
  </si>
  <si>
    <t>08949/2024</t>
  </si>
  <si>
    <t>CATMAT - PDM 333</t>
  </si>
  <si>
    <t>3.3.90.30.50</t>
  </si>
  <si>
    <t>Aquisição de Bandeiras, Corda e Mosquetões para a sede do CNJ - BANDEIRAS</t>
  </si>
  <si>
    <t>Dar cumprimento ao Manter a segurança das instalações e da população do CNJ ao artigo 13 da Lei 5.700/71.</t>
  </si>
  <si>
    <t>CATMAT - PDM 3294</t>
  </si>
  <si>
    <t xml:space="preserve"> </t>
  </si>
  <si>
    <t>3.3.90.30.36</t>
  </si>
  <si>
    <t>Compra de Kit primeiros-socorros Polícia Judicial</t>
  </si>
  <si>
    <t>3.3.90.37.01</t>
  </si>
  <si>
    <t>Prestação de serviços de apoio administrativo na área de cerimonial, por meio de postos de trabalho</t>
  </si>
  <si>
    <t>Prover tecnicamente a SCE de apoio administrativo na realização de eventos institucionais conduzidos e/ou apoiados pelo CNJ dentro e fora de Brasília-DF. Valor ajustado conforme Minuta da 1ª Apostila (Repactuação) - SEI 1413460e valor do IPCA indicado.</t>
  </si>
  <si>
    <t>040106 - SCE</t>
  </si>
  <si>
    <t>VII</t>
  </si>
  <si>
    <t>07127/2023</t>
  </si>
  <si>
    <t>Contrato n. 35/2024</t>
  </si>
  <si>
    <t>CATSER - 5380</t>
  </si>
  <si>
    <t>3.3.90.39.23</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</si>
  <si>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</si>
  <si>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</si>
  <si>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13414/2023</t>
  </si>
  <si>
    <t>Contrato n. 38/2024</t>
  </si>
  <si>
    <t>CATSER - 12637</t>
  </si>
  <si>
    <t>3.3.90.39.12</t>
  </si>
  <si>
    <t>Aquisição de material personalizado sob demanda</t>
  </si>
  <si>
    <t xml:space="preserve">Integrar a comunicação de toda a equipe de organização dos eventos institucionais do CNJ.  </t>
  </si>
  <si>
    <t>Aquisicão de rádios comunicadores digitais</t>
  </si>
  <si>
    <t xml:space="preserve">Integrar a comunicação de toda a equipe de organização dos eventos institucionais do CNJ,  permitindo uma comunicação rápida e eficaz. Valor estimado para aquisição de 10 (dez) rádios comunicadores digitais, conforme orçamentos recebidos Processo 01212/2022 e 08924/2022) </t>
  </si>
  <si>
    <t>12210/2024</t>
  </si>
  <si>
    <t>Média</t>
  </si>
  <si>
    <t>CATMAT - PDM 13558</t>
  </si>
  <si>
    <t>3.3.90.31.99</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</si>
  <si>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</si>
  <si>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 Valor estimado conforme média de pesquisas de preços de mercado (SEI 04243/2022). Valor ajustado conforme IPCA indicado.</t>
  </si>
  <si>
    <t>11063/2023</t>
  </si>
  <si>
    <t>CATMAT- PDM 1453</t>
  </si>
  <si>
    <t>00036/2025</t>
  </si>
  <si>
    <t>3.3.90.39.47</t>
  </si>
  <si>
    <t>Prestação de serviços postais, telemáticos e adicionais e entrega de encomendas na modalidade nacional e internacional; e contração do serviço e-carta para captação eletrônica de dados para geração de objetos postais para entrega física.</t>
  </si>
  <si>
    <t xml:space="preserve">Viabilizar a prestação de serviços destinados ao envio de comunicações processuais, correspondências, documentos ofíciais e divulgação de informações institucionais. </t>
  </si>
  <si>
    <t>040112 - COPF</t>
  </si>
  <si>
    <t>VI</t>
  </si>
  <si>
    <t>06859/2020</t>
  </si>
  <si>
    <t>Contrato n. 27/2021</t>
  </si>
  <si>
    <t>CATSER - 4286</t>
  </si>
  <si>
    <t xml:space="preserve">3.3.90.14.14 </t>
  </si>
  <si>
    <t>Diárias</t>
  </si>
  <si>
    <t>Previsão estimada para 12 meses de pagamento de diárias, inclusive o valor de cotas para os magistrados, nos termos da IN n. 10/2012.</t>
  </si>
  <si>
    <t>040126 - SEPAD</t>
  </si>
  <si>
    <t>3.3.90.33.01</t>
  </si>
  <si>
    <t>Contrato futuro. Prestação de serviço de agenciamento de viagens, compreendendo os serviços de emissão, remarcação e cancelamento de passagens aéreas nacionais e internacionais e de emissão de seguro de assistência em viagem internacional, para o CNJ.</t>
  </si>
  <si>
    <t>Previsão para 12 meses de prestação de serviços de agenciamento de viagens, considerando o valor mensal estimado de R$ 500.000,00 pro mês.</t>
  </si>
  <si>
    <t>VII, IX e XI</t>
  </si>
  <si>
    <t>00524/2024</t>
  </si>
  <si>
    <t>Contrato n. 18/2024</t>
  </si>
  <si>
    <t>CATSER - 25828</t>
  </si>
  <si>
    <t>3.3.91.39.90</t>
  </si>
  <si>
    <t>Contrato de Distribuição de Publicidade Legal</t>
  </si>
  <si>
    <t>Cumprimento do §1º do artigo 54 da Lei 14.133/2021, que instituiu a obrigatoriedade de publicação do extrato dos editais de licitação em jornal diário de grande circulação</t>
  </si>
  <si>
    <t>040127 - CPC</t>
  </si>
  <si>
    <t>09879/2022</t>
  </si>
  <si>
    <t>Contrato n. 04/2023</t>
  </si>
  <si>
    <t>CATSER - 10049</t>
  </si>
  <si>
    <t>Reserva PCA</t>
  </si>
  <si>
    <t>040128 - SAD</t>
  </si>
  <si>
    <t>3.3.90.40.00</t>
  </si>
  <si>
    <t xml:space="preserve">TED STF </t>
  </si>
  <si>
    <t xml:space="preserve">Ressarcimento das despesas realizadas pelo STF em favor do CNJ </t>
  </si>
  <si>
    <t>10149/2021</t>
  </si>
  <si>
    <t>TED n. 008/2020</t>
  </si>
  <si>
    <t>Item excluído</t>
  </si>
  <si>
    <t>Prestação de serviços de estocagem e carregamento de bens</t>
  </si>
  <si>
    <t>Trata-se de contratação que visa atender as Unidades do CNJ com pessoal de apoio administrativo para o desenvolvimento das atividades de carregamento e estocagem de bens móveis, por posto de trabalho. Estima-se o acréscido de aproximadamente 8% sobre o valor da última repactuação (documento SEI n. 1768501 - R$ 681.404,70), pois haverá nova repactuação no início do ano de 2025.</t>
  </si>
  <si>
    <t>040129 - SEMAP</t>
  </si>
  <si>
    <t>04338/2021</t>
  </si>
  <si>
    <t>Contrato n. 23/2022</t>
  </si>
  <si>
    <t>CATSER - 17167</t>
  </si>
  <si>
    <t>4.4.90.52.42</t>
  </si>
  <si>
    <t>Aquisição de mobiliário</t>
  </si>
  <si>
    <t>Trata-se de registro de preços para aquisição de mobliário para as unidades do CNJ. A previsão é adquirir pelo menos 1/3 do quantitativo registrado em 2024 e 2/3 em 2025. Dessa forma, estima-se um gasto da ordem de R$ 930 mil em 2025, o que corresponde a aproximadamente 2/3 do valor estimado no Mapa Comparativo de Preços V.5 (1809344) - R$ 1.394.874,47.</t>
  </si>
  <si>
    <t>11363/2023</t>
  </si>
  <si>
    <t>ARPs 10 a 19/2024</t>
  </si>
  <si>
    <t>CATMAT - PDM 10984</t>
  </si>
  <si>
    <t>3.3.90.39.84</t>
  </si>
  <si>
    <t xml:space="preserve">Almoxarifado Virtual </t>
  </si>
  <si>
    <t>Trata-se de contrato de Almoxarifado Virtual, que visa atender às unidades do CNJ com fornecimento de materiais de expediente. Com a inclusão dos itens informados no Despacho SEMAP n. 1765201 e de caixas arquivos (cuja inclusão ainda será solicitada) e considerando a necessidade de reposição do estoque de produtos, que, embora previstos no AVN, ainda não haviam sido adquiridos por meio desse contrato, estima-se o acréscido de aproximadamente 20% sobre o valor que possivelmente será gasto em 2024 (R$ 80 mil).</t>
  </si>
  <si>
    <t>04962/2020</t>
  </si>
  <si>
    <t>Contrato n. 22/2021</t>
  </si>
  <si>
    <t>CATSER - 27685</t>
  </si>
  <si>
    <t>4.4.90.52.33</t>
  </si>
  <si>
    <t>Registro de preços de televisores e suportes para tais aparelhos</t>
  </si>
  <si>
    <t>Trata-se de registro de preços para aquisição de televisores para as unidades do CNJ. A previsão é adquirir em 2025 metade do quantitativo que será registrado em 2024, o que corresponde a um gasto de aproximadamente R$ 70mil (considerando o valor total estimado de aproximadamente R$ 136 mil, constante do documente SEI n. 1805935).</t>
  </si>
  <si>
    <t>02210/2024</t>
  </si>
  <si>
    <t>ARP 20/2024 e ARP 21/2024</t>
  </si>
  <si>
    <t>CATMAT - PDM 12609</t>
  </si>
  <si>
    <t>3.3.90.30.00</t>
  </si>
  <si>
    <t>Aquisição de materiais de expediente, descartáveis e de consumo</t>
  </si>
  <si>
    <t>Trata-se da possível necessidade de aquisição de materiais, que não possam ser incluídos no Almoxarifado Virtual.</t>
  </si>
  <si>
    <t>CATMAT - PDM 1115</t>
  </si>
  <si>
    <t>4.4.90.52.12</t>
  </si>
  <si>
    <t>Aquisição de eletrodomésticos</t>
  </si>
  <si>
    <t>Trata-se de registro de preços de aquisição de eletrodomésticos para as unidades do CNJ. A previsão é adquirir em 2025 o saldo remenecente da ata que será formalizada em 2024, o que corresponderá, possivelmente, à metade do quantitativo total de frigobares e  um gasto de aproximadamente R$ 17mil (considerando o valor dos equipamentos constantes do documento SEI n. 1856240). Acresenta-se ainda a essa estimativa o valor de R$13mil, que será destinado a compra eletrodomésticos (por meio de novos registros de preços) para reposição ou para atender novas demandas.</t>
  </si>
  <si>
    <t>11702/2024</t>
  </si>
  <si>
    <t>CATMAT - PDM 784</t>
  </si>
  <si>
    <t>3.3.90.39.20</t>
  </si>
  <si>
    <t>Reforma de sofás</t>
  </si>
  <si>
    <t>Trata-se de recorrente e necessária para manter a integridade físico dos diversos sofás atualmente em uso no CNJ. Cabe frisar que a reforma é uma opção mais econômico, quando comparada à aquisição de novos sofás. Ademais, a reforma representa uma opção mais sustentável, já que será prolonganda a vida útil dos sofás, evitando assim o descarte desnecessário de um mobiliário que ainda pode ser utilizado.</t>
  </si>
  <si>
    <t>01650/2024</t>
  </si>
  <si>
    <t>CATSER - 17574</t>
  </si>
  <si>
    <t>3.3.90.39.69</t>
  </si>
  <si>
    <t>Seguro Predial - Edífcio Premium</t>
  </si>
  <si>
    <t>Trata-se de obrigação contratual decorrente da locação do imóvel sede do CNJ. Estima-se para 2025 o acréscido de aproximadamente 10% sobre o valor total dessa despesa paga em 2024 (que foi de aproximdamente R$ 12 mil, conforme Processo n. 05262/2023), em razão de possíveis reajustes no valor da apólice de seguro.</t>
  </si>
  <si>
    <t>03173/2024</t>
  </si>
  <si>
    <t>Contrato n. 23/2024</t>
  </si>
  <si>
    <t>CATSER - 30126</t>
  </si>
  <si>
    <t>4.4.90.52.18</t>
  </si>
  <si>
    <t>Aquisição de livros</t>
  </si>
  <si>
    <t xml:space="preserve">Trata-se de contratação que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</si>
  <si>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CATMAT - PDM 14509</t>
  </si>
  <si>
    <t>3.3.90.39.96</t>
  </si>
  <si>
    <t>Suprimento de Fundos</t>
  </si>
  <si>
    <t>Atender demandas excepcionais e urgentes, 5 suprimentos ao ano no valor de R$8.000,00 cada</t>
  </si>
  <si>
    <t>040130 - SECOM</t>
  </si>
  <si>
    <t>3.3.90.39.01</t>
  </si>
  <si>
    <t>Renovação de assinatura da Ferramenta Banco de Preços</t>
  </si>
  <si>
    <t>ferramenta auxiliar de pesquisa de preços</t>
  </si>
  <si>
    <t>08313/2023</t>
  </si>
  <si>
    <t>Contrato n. 37/2023</t>
  </si>
  <si>
    <t>CATSER - 21350</t>
  </si>
  <si>
    <t>3.3.90.30.24</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</si>
  <si>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</si>
  <si>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</si>
  <si>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040133 - SEART</t>
  </si>
  <si>
    <t>10155/2023</t>
  </si>
  <si>
    <t>ARP 03/2024</t>
  </si>
  <si>
    <t>CATSER - 15814</t>
  </si>
  <si>
    <t>14628/2024</t>
  </si>
  <si>
    <t xml:space="preserve">Contratação de Projeto da fachada do Edifício da SEPN 514 </t>
  </si>
  <si>
    <t>Preservar as instalações prediais do CNJ para garantir o seu funcionamento adequado.</t>
  </si>
  <si>
    <t>CATSER - 78</t>
  </si>
  <si>
    <t>Contratação de serviço e instalação de películas</t>
  </si>
  <si>
    <t>CATSER - 5584</t>
  </si>
  <si>
    <t>Aquisição de chapas em MDF</t>
  </si>
  <si>
    <t>CATMAT - PDM 14744</t>
  </si>
  <si>
    <t>Fornecimento e instalação de persianas para ambos os edifícios do CNJ</t>
  </si>
  <si>
    <t>04394/2024</t>
  </si>
  <si>
    <t>CATSER - 25321</t>
  </si>
  <si>
    <t>Contratação de empresa especializada para fornecimento de plantas ornamentais artificiais com cachepô</t>
  </si>
  <si>
    <t xml:space="preserve">A aquisição do objeto em questão justifica-se pela necessidade de composição de ambientes para o uso de autoridades deste Conselho, em especial a Presidência, os quais são utilizados ainda para recepção de autoridades externas. </t>
  </si>
  <si>
    <t>CATMAT - PDM 10884</t>
  </si>
  <si>
    <t>3.3.90.30.31</t>
  </si>
  <si>
    <t>Execução paisagismo SEPN 514</t>
  </si>
  <si>
    <t>Contratação direta</t>
  </si>
  <si>
    <t>Confecção e emolduramento de quadros contendo impressão fine-art de fotografias</t>
  </si>
  <si>
    <t>A aquisição do objeto em questão justifica-se em razão das adequações realizadas nos edifícios sob responsabilidade do Conselho Nacional de Justiça e da necessidade de composição dos leiautes projetados para os gabinetes e demais ambientes internos deste CNJ.  Cabe citar que tal demanda por quadros decorativos é recorrente, principalmente por titulares dos gabinetes ou seus assessores.  Ainda, pelo fato de serem quadros com fotografias fornecidas pela SCS, soma-se a possibilidade de dar visibilidade do papel institucional do Conselho.</t>
  </si>
  <si>
    <t>05789/2024</t>
  </si>
  <si>
    <t>ARP 05/2025</t>
  </si>
  <si>
    <t>CATSER - 5452</t>
  </si>
  <si>
    <t>Instalação, Manutenção e Remanejamento de peças de Comunicação Visual das edificações do CNJ</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</si>
  <si>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</si>
  <si>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CATSER - 14249</t>
  </si>
  <si>
    <t>3.3.90.30.22</t>
  </si>
  <si>
    <t>Aquisição de capachos personalizados para as unidades do CNJ.</t>
  </si>
  <si>
    <t>09730/2022</t>
  </si>
  <si>
    <t>CATMAT - PDM 745</t>
  </si>
  <si>
    <t>3.3.90.39.43</t>
  </si>
  <si>
    <t>Energia elétrica - Edifício Premium</t>
  </si>
  <si>
    <t>Serviço essencial a ser executado de forma contínua e destinado a atender necessidade permanente do CNJ</t>
  </si>
  <si>
    <t>040134 - SEEMP</t>
  </si>
  <si>
    <t>11711/2019</t>
  </si>
  <si>
    <t>Contrato n. 52/2019 e 40/2024</t>
  </si>
  <si>
    <t>CATSER - 4120</t>
  </si>
  <si>
    <t>Energia elétrica - 514 N Média Tensão</t>
  </si>
  <si>
    <t>02702/2021</t>
  </si>
  <si>
    <t>Contrato n. 11/2021</t>
  </si>
  <si>
    <t>3.3.90.37.04</t>
  </si>
  <si>
    <t>Manutenção Predial - Nova Contratação</t>
  </si>
  <si>
    <t>13246/2024</t>
  </si>
  <si>
    <t>CATSER - 1627</t>
  </si>
  <si>
    <t>Manutenção Predial - Orion Telecom</t>
  </si>
  <si>
    <t>10739/2019</t>
  </si>
  <si>
    <t>Contrato n. 11/2020</t>
  </si>
  <si>
    <t>3.3.90.39.45</t>
  </si>
  <si>
    <t>Água e esgoto - Edifício Premium</t>
  </si>
  <si>
    <t>11710/2019</t>
  </si>
  <si>
    <t>Contrato n. 42/2019</t>
  </si>
  <si>
    <t>CATSER - 22845</t>
  </si>
  <si>
    <t>Projeto de VRF Predial 514 Norte</t>
  </si>
  <si>
    <t>Modernização do sistema de Ar Condicionado</t>
  </si>
  <si>
    <t>08597/2024</t>
  </si>
  <si>
    <t>CATSER - 507</t>
  </si>
  <si>
    <t>Água e esgoto - 514 Norte</t>
  </si>
  <si>
    <t>04409/2020</t>
  </si>
  <si>
    <t>Contrato n. 16/2021</t>
  </si>
  <si>
    <t>Painéis Fotovoltaicos 514 N: Projeto</t>
  </si>
  <si>
    <t>Investimento visando redução do custo com energia elétrica</t>
  </si>
  <si>
    <t>08553/2024</t>
  </si>
  <si>
    <t>CATSER - 20621</t>
  </si>
  <si>
    <t>3.3.90.39.17</t>
  </si>
  <si>
    <t>Manutenção ar condicionado 514N</t>
  </si>
  <si>
    <t>01293/2023</t>
  </si>
  <si>
    <t>Contrato n. 16/2023</t>
  </si>
  <si>
    <t>CATSER - 2771</t>
  </si>
  <si>
    <t>3.3.90.47.22</t>
  </si>
  <si>
    <t>Taxa de iluminação pública - Edifício Premium</t>
  </si>
  <si>
    <t>Encargo vinculado ao fornecimento de energia elétrica</t>
  </si>
  <si>
    <t>Contrato n. 52/2019</t>
  </si>
  <si>
    <t>CATSER - 16195</t>
  </si>
  <si>
    <t>Taxa de iluminação pública - 514 N Média Tensão</t>
  </si>
  <si>
    <t>Manutenção elevadores 514N</t>
  </si>
  <si>
    <t>01001/2021</t>
  </si>
  <si>
    <t>Contrato n. 06/2021</t>
  </si>
  <si>
    <t>CATSER - 3557</t>
  </si>
  <si>
    <t>Energia elétrica - 514 N Bomba de Incêndio</t>
  </si>
  <si>
    <t>01319/2021</t>
  </si>
  <si>
    <t>Contrato n. 09/2023</t>
  </si>
  <si>
    <t>Taxa de iluminação pública - 514 N Bomba de Incêndio</t>
  </si>
  <si>
    <t>Aquisição de aparelhos de Ar Condicionado e bombas de dreno</t>
  </si>
  <si>
    <t>Investimento visando manter em operação e substituir equipamentos obsoletos e danificados</t>
  </si>
  <si>
    <t>12407/2024</t>
  </si>
  <si>
    <t>CATMAT - PDM 13768</t>
  </si>
  <si>
    <t>Prestação de serviço de apoio na área de secretariado</t>
  </si>
  <si>
    <t>A necessidade consiste em assegurar a prestação de serviço de apoio administrativo na área de secretariado. A contratação visa o atendimento às unidades administrativas do Conselho Nacional de Justiça, com vistas à execução de atribuições rotineiras, próprias da atividade de secretariado, não contempladas no Manual de Atribuições dos Cargos do órgão.</t>
  </si>
  <si>
    <t>040135 - SESER</t>
  </si>
  <si>
    <t>06741/2021</t>
  </si>
  <si>
    <t>Contrato n. 02/2022</t>
  </si>
  <si>
    <t>04233/2024</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</si>
  <si>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</si>
  <si>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</si>
  <si>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03363/2024</t>
  </si>
  <si>
    <t>Contrato n. 34/2024</t>
  </si>
  <si>
    <t>3.3.90.37.05</t>
  </si>
  <si>
    <t>Prestação de serviço de apoio na área de copeiragem</t>
  </si>
  <si>
    <t>atender as demandas de prestação de serviço de copeiragem, demandado diariamente e na realização de reuniões e eventos no âmbito do Conselho Nacional de Justiça, com entrega de água e café, bem como preparação de lanches para os conselheiros em dias</t>
  </si>
  <si>
    <t>05897/2022</t>
  </si>
  <si>
    <t>Contrato n. 37/2022</t>
  </si>
  <si>
    <t>CATSER - 14397</t>
  </si>
  <si>
    <t>00160/2025</t>
  </si>
  <si>
    <t>3.3.90.37.02</t>
  </si>
  <si>
    <t>Limpeza e manutenção</t>
  </si>
  <si>
    <t>Atender a limpeza, higienização e conservação de bens móveis e imóveis do CNJ</t>
  </si>
  <si>
    <t>12839/2019</t>
  </si>
  <si>
    <t>Contrato n. 13/2020</t>
  </si>
  <si>
    <t>CATSER - 23329</t>
  </si>
  <si>
    <t>00641/2023</t>
  </si>
  <si>
    <t>Fornecimento de gêneros alimentícios, serviço de coquetel e serviço de coffee break (SESER e SCE)</t>
  </si>
  <si>
    <t>A presente contratação se faz necessária, haja vista os eventos realizados no CNJ, tais como solenidades de posses, reuniões administrativas, sessões plenárias, seminários, congressos, encontros e demais eventos promovidos pelo CNJ.</t>
  </si>
  <si>
    <t>04784/2024</t>
  </si>
  <si>
    <t>ARP 03/2025 e ARP 04/2025</t>
  </si>
  <si>
    <t>CATSER - 3697</t>
  </si>
  <si>
    <t>Telefonista</t>
  </si>
  <si>
    <t>Atender as demandas para atendimento com o público externo, principalmente com projetos e campanhas do CNJ</t>
  </si>
  <si>
    <t>11489/2019</t>
  </si>
  <si>
    <t>Contrato n. 07/2020</t>
  </si>
  <si>
    <t>CATSER - 13447</t>
  </si>
  <si>
    <t>12486/2024</t>
  </si>
  <si>
    <t>3.3.90.39.41</t>
  </si>
  <si>
    <t>Fornecimento de refeições (almoço) com acompanhamento de bebidas não alcoólicas.</t>
  </si>
  <si>
    <t>A presente contratação complementa a prestação dos serviços de copeiragem aos Conselheiros e Juízes Auxiliares nos dias de Sessões Plenárias do Conselho Nacional de Justiça. A prestação dos serviços visa a produtividade das atividades e assim evitar a perda de tempo com deslocamentos e logística para os Senhores Conselheiros e Juízes Auxiliares para se alimentarem.</t>
  </si>
  <si>
    <t>13865/2023</t>
  </si>
  <si>
    <t>3.3.90.40.14</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</si>
  <si>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</si>
  <si>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</si>
  <si>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04823/2020</t>
  </si>
  <si>
    <t>Contrato n. 18/2020</t>
  </si>
  <si>
    <t>CATSER - 26280</t>
  </si>
  <si>
    <t>13975/2024</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</si>
  <si>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</si>
  <si>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</si>
  <si>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09530/2021</t>
  </si>
  <si>
    <t>Contrato n. 29/2021</t>
  </si>
  <si>
    <t>CATSER - 26123</t>
  </si>
  <si>
    <t>09535/2021</t>
  </si>
  <si>
    <t>Contrato n. 28/2021</t>
  </si>
  <si>
    <t>CATSER - 3417</t>
  </si>
  <si>
    <t>3.3.90.39.78</t>
  </si>
  <si>
    <t>Serviços de dedetização</t>
  </si>
  <si>
    <t>Atender a emanda de serviços de controles de vetores e pragas urbanas</t>
  </si>
  <si>
    <t>06356/2024</t>
  </si>
  <si>
    <t>Contrato n. 25/2024</t>
  </si>
  <si>
    <t>CATMAT - PDM 6446</t>
  </si>
  <si>
    <t>3.3.90.30.25</t>
  </si>
  <si>
    <t>Aquisição de 114 refis, por meio de Dispensa de Licitação, para os filtros Soft Everest Plus instalados no Conselho Nacional de Justiça.</t>
  </si>
  <si>
    <t>Segundo o fabricante Soft, a vida útil do elemento filtrante é de 4000 litros, ou 200 garrafões de 20 litros, ou pelo desgaste do tempo, que é em torno de 9 a 12 meses, mesmo sem nenhuma alteração nos aspectos físicos e químicos da água.</t>
  </si>
  <si>
    <t>03848/2025</t>
  </si>
  <si>
    <t>CATMAT - PDM 19555</t>
  </si>
  <si>
    <t>3.3.90.30.07</t>
  </si>
  <si>
    <t>Fornecimento de água mineral, sem gás e com gás</t>
  </si>
  <si>
    <t>Prover todo o Conselho Nacional de Justiça com água para consumo e ainda fornecer água em garrafas de 500 ml para autoridades que trabalham no órgão.</t>
  </si>
  <si>
    <t>11910/2023</t>
  </si>
  <si>
    <t>ARP 01/2024 e 02/2024</t>
  </si>
  <si>
    <t>CATSER - 19542</t>
  </si>
  <si>
    <t>3.3.90.39.46</t>
  </si>
  <si>
    <t>Serviços de lavanderia</t>
  </si>
  <si>
    <t>atender as demandas de serviços de lavanderia a fim de recolher, lavar e passar, forros, tolhas de mesa utilizados na Copa.</t>
  </si>
  <si>
    <t>12436/2023</t>
  </si>
  <si>
    <t>Contrato n. 11/2024</t>
  </si>
  <si>
    <t>13056/2024</t>
  </si>
  <si>
    <t>Prestação dos Serviços de Condução de Veículos</t>
  </si>
  <si>
    <t>Manter a operacionalidade dos serviços de transportes do CNJ</t>
  </si>
  <si>
    <t>040136 - SETRA</t>
  </si>
  <si>
    <t>12229/2023</t>
  </si>
  <si>
    <t>Contrato n. 38/2023</t>
  </si>
  <si>
    <t>CATSER - 15008</t>
  </si>
  <si>
    <t>3.3.90.30.01</t>
  </si>
  <si>
    <t>Sistema de gestão de frota-serviços de administração e gerenciamento compartilhado de frota para o fornecimento de combustíveis para veículos da frota</t>
  </si>
  <si>
    <t>03160/2021</t>
  </si>
  <si>
    <t>Contrato n. 17/2022</t>
  </si>
  <si>
    <t>CATSER - 25372</t>
  </si>
  <si>
    <t>Contratação de serviços de manutenção de veículos para a frota do Conselho Nacional de Justiça-CNJ.</t>
  </si>
  <si>
    <t>03639/2023</t>
  </si>
  <si>
    <t>Contrato n. 08/2024</t>
  </si>
  <si>
    <t>CATSER - 25518</t>
  </si>
  <si>
    <t>07884/2024</t>
  </si>
  <si>
    <t>Contrato n. 04/2025</t>
  </si>
  <si>
    <t>Seguro da frota de veículos</t>
  </si>
  <si>
    <t>01446/2025</t>
  </si>
  <si>
    <t>Contrato n. 10/2025</t>
  </si>
  <si>
    <t>CATSER - 30127</t>
  </si>
  <si>
    <t>10135/2024</t>
  </si>
  <si>
    <t>Contrato n. 36/2024</t>
  </si>
  <si>
    <t>Rastreamento de veículos</t>
  </si>
  <si>
    <t>03732/2023</t>
  </si>
  <si>
    <t>Contrato n. 30/2023</t>
  </si>
  <si>
    <t>CATSER - 25410</t>
  </si>
  <si>
    <t>3.3.90.47.10</t>
  </si>
  <si>
    <t>Licenciamento anual</t>
  </si>
  <si>
    <t>Renovação da concessão da autorização de uso de placas especiais</t>
  </si>
  <si>
    <t>08321/2020</t>
  </si>
  <si>
    <t>3.3.90.93.02</t>
  </si>
  <si>
    <t>Valores destinados a compensar as despesas de instalação
dos Conselheiros, Juizes Auxiliares e Servidores que, no interesse da Administração, se deslocarem da respectiva sede e passar a ter exercício no Conselho Nacional de Justiça.
O referido benefício engloba:
* Ajuda de Custo para atender às despesas de viagem, mudança e instalação;
* Indenização dos valores gastos com transporte;
* Indenização dos valores gastos com o transporte de mobiliário, bagagem e bens pessoais</t>
  </si>
  <si>
    <t>24 magistrados, a uma média de R$ 52.252,58
8 servidores, a uma média de R$ 19.959,14
Considerando os reajustes salariais de 2024 e 2025 e Considerando que no ano de 2025 haverá troca de gestão da presidência</t>
  </si>
  <si>
    <t>040137 - SGP</t>
  </si>
  <si>
    <t>XVI</t>
  </si>
  <si>
    <t>00052/2025</t>
  </si>
  <si>
    <t>3.3.90.36.07</t>
  </si>
  <si>
    <t>Programa de Estágio Supervisionado do CNJ</t>
  </si>
  <si>
    <t>120 estagiários com valor de Bolsa Estágio de R$ 976,00 + VT de R$ 254,10 mensais + indenização de férias de R$ 976,00 + taxa de administração de R$ 75,00 x 12 meses.</t>
  </si>
  <si>
    <t>00097/2019</t>
  </si>
  <si>
    <t>Contrato n. 15/2020</t>
  </si>
  <si>
    <t>CATSER - 15156</t>
  </si>
  <si>
    <t>11113/2024</t>
  </si>
  <si>
    <t xml:space="preserve">33.90.14
33.90.36
33.90.33
33.90.20
33.90.18
</t>
  </si>
  <si>
    <t>Acordo de Cooperação UFPA - Consultoria Gestão do Desempenho</t>
  </si>
  <si>
    <t>Após realização do mapeamento de competências e dimensionamento de pessoal junto à UFPA, propõe-se neste momento a implantação de um modelo atualizado de gestão de desempenho por competências dos servidores do CNJ em continuidade aos projetos anteriores. Nesse sentido, a Resolução n. 240/2016 estabelece como diretrizes para o acompanhamento e desenvolvimento de servidores adotar mecanismos de gestão de desempenho baseados em competências que contemplem o planejamento, o acompanhamento e a avaliação do desempenho dos servidores, assim como técnicas de feedback e compartilhamento de experiências. O valor da ação foi baseado em acordos similares já realizados anteriormente e atualizado pelo IPCA de 2021 a 2024.</t>
  </si>
  <si>
    <t>TED - Programa de berçário</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</si>
  <si>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2024. Os valores salarais foram revisados de acordo com as novas CCTs e também foi realizado acréscimo de 5% nos valores de alguns salários (que não tem CCT ativa) e no valor dos uniformes. Ainda, foi calculado um acréscimo de 8%, referente à projeção do IPCA para 2022.</t>
  </si>
  <si>
    <t>09283/2022</t>
  </si>
  <si>
    <t>0002</t>
  </si>
  <si>
    <t>CN</t>
  </si>
  <si>
    <t>Passagens</t>
  </si>
  <si>
    <t>V</t>
  </si>
  <si>
    <t>33.90.14.14</t>
  </si>
  <si>
    <t>0003</t>
  </si>
  <si>
    <t>3.3.90.40.11</t>
  </si>
  <si>
    <t>DTI</t>
  </si>
  <si>
    <t>Prestação presencial de serviços, sob demanda, de desenvolvimento e manutenção de software com práticas ágeis. Contrato 13/2021. SEI 05539/2021.</t>
  </si>
  <si>
    <t>Sustentação de Soluções de TIC do Portfólio. Ex: Pje, BNMP, DATAJUD, SEI, SGRH, entre outros</t>
  </si>
  <si>
    <t>DTE</t>
  </si>
  <si>
    <t>IX</t>
  </si>
  <si>
    <t>05539/2021</t>
  </si>
  <si>
    <t>Contrato n. 13/2021</t>
  </si>
  <si>
    <t>CATSER - 30001</t>
  </si>
  <si>
    <t>Prestação presencial de serviços, sob demanda, de desenvolvimento e manutenção de software com práticas ágeis. Contrato 13/2021. SEI 05539/2021. -Plano de saúde.</t>
  </si>
  <si>
    <t>3.3.90.40.17</t>
  </si>
  <si>
    <t>Contrato de Nuvem (12/2024)</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</si>
  <si>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</si>
  <si>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06309/2023</t>
  </si>
  <si>
    <t>Contrato n. 12/2024</t>
  </si>
  <si>
    <t>CATSER - 27081</t>
  </si>
  <si>
    <t>Prestação de Serviço de sustentação do Ambiente Tecnológico do CNJ</t>
  </si>
  <si>
    <t>Manter a infraestrutura tecnológica de TIC do CNJ. Responsável pelas aplicações, serviços de TIC, Bancos de Dados e infraestrutura de redes.</t>
  </si>
  <si>
    <t>07058/2021</t>
  </si>
  <si>
    <t>Contrato n. 06/2024</t>
  </si>
  <si>
    <t>CATSER - 27014</t>
  </si>
  <si>
    <t>Prestação de serviços técnicos para eventual prestação de apoio às atividades de planejamento, processos e gerenciamento de projetos em Tecnologia da Informação, a fim de atender às demandas do CNJ. Substituto do Contrato 03/2020 - MEMORA</t>
  </si>
  <si>
    <t>Atividades de suporte à Gestão e Governança. Apoio na elaboração de Pareceres, Estudos, no monitoramento de Projetos, entre outros</t>
  </si>
  <si>
    <t>DGP</t>
  </si>
  <si>
    <t>06450/2024</t>
  </si>
  <si>
    <t>CATSER - 27260</t>
  </si>
  <si>
    <t>Prestação de serviços técnicos para eventual prestação de apoio às atividades de planejamento, processos e gerenciamento de projetos em Tecnologia da Informação, a fim de atender às demandas do CNJ. Contrato 03/2020 - MEMORA</t>
  </si>
  <si>
    <t>02897/2019</t>
  </si>
  <si>
    <t>Contrato n. 03/2020</t>
  </si>
  <si>
    <t>3.3.90.40.21</t>
  </si>
  <si>
    <t>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Substituto do Contrato 29/2020 - GARTNER</t>
  </si>
  <si>
    <t>Suporte à Gestão e Governança. Aconselhamento e elaboração de estudos de TIC</t>
  </si>
  <si>
    <t>00816/2025</t>
  </si>
  <si>
    <t>CATSER - 22918</t>
  </si>
  <si>
    <t>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t>
  </si>
  <si>
    <t>03480/2020</t>
  </si>
  <si>
    <t>Contrato n. 29/2020</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</si>
  <si>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</si>
  <si>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</si>
  <si>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</si>
  <si>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00445/2021</t>
  </si>
  <si>
    <t>Contrato n. 01/2022</t>
  </si>
  <si>
    <t>CATSER - 27502</t>
  </si>
  <si>
    <t xml:space="preserve">Prestação de serviços de manutenção preventiva, corretiva e evolutiva da Sala Cofre (célula) com certificação ABNT NBR 15.247 (Grupo 1) </t>
  </si>
  <si>
    <t>Garantir a manutenção da sala cofre e subsistemas da célula</t>
  </si>
  <si>
    <t>00680/2024</t>
  </si>
  <si>
    <t>Contrato n. 02/2024</t>
  </si>
  <si>
    <t>CATSER - 20710</t>
  </si>
  <si>
    <t>Prestação de serviços de manutenção preventiva, corretiva e evolutiva da Sala Cofre (célula) com certificação ABNT NBR 15.247 (Grupo 1) -Gas</t>
  </si>
  <si>
    <t>3.3.90.40.16</t>
  </si>
  <si>
    <t>Contratação de serviços de impressões, digitalizações e reproduções de caráter local na modalidade com franquia de páginas mais excedentes</t>
  </si>
  <si>
    <t>Necessário para: realizar impressões e digitalização dos documentos do CNJ sem a necessidade de termos o custo com as impressoras e os consumíveis</t>
  </si>
  <si>
    <t>01317/2021</t>
  </si>
  <si>
    <t>Contrato n. 25/2022</t>
  </si>
  <si>
    <t>CATSER - 26867</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</si>
  <si>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</si>
  <si>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</si>
  <si>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</si>
  <si>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02474/2021</t>
  </si>
  <si>
    <t>CATSER - 27103</t>
  </si>
  <si>
    <t>Contratação da prestação de serviços técnicos especializados e suporte técnico em ativos de microinformática - Substituto do Contrato 22/2022</t>
  </si>
  <si>
    <t>02035/2025</t>
  </si>
  <si>
    <t>n/d</t>
  </si>
  <si>
    <t>Suporte Técnico para Solução de Telefonia VoIP</t>
  </si>
  <si>
    <t xml:space="preserve">Garantir que a solução de telefonia VOIP tenha suporte técnico apropriado para que os serviços telefônicos disponibilizados aos usuários do CNJ não sofram indisponibilidade. </t>
  </si>
  <si>
    <t>01015/2022</t>
  </si>
  <si>
    <t>Contrato n. 29/2023</t>
  </si>
  <si>
    <t>CATSER - 26980</t>
  </si>
  <si>
    <t>Serviços de manutenção preventiva, corretiva e evolutiva dos subsistemas de alimentação elétrica (UPS e Geradores) da sala cofre (grupo 2).</t>
  </si>
  <si>
    <t>Garantir a manutenção dos geradores e no-breaks que dão suporte a sala cofre</t>
  </si>
  <si>
    <t>00682/2024</t>
  </si>
  <si>
    <t>Contrato n. 03/2024</t>
  </si>
  <si>
    <t>CATSER - 19810</t>
  </si>
  <si>
    <t>3.3.90.30.26</t>
  </si>
  <si>
    <t>Serviços de manutenção preventiva, corretiva e evolutiva dos subsistemas de alimentação elétrica (UPS e Geradores) da sala cofre (grupo 2). (Baterias)</t>
  </si>
  <si>
    <t>Serviços técnicos de monitoramento, operação e controle do ambiente tecnológico do CNJ.</t>
  </si>
  <si>
    <t>O contrato de monitoramento, operação e controle tem por finalidade manter a disponibilidade dos serviços mantidos pelo CNJ 24x7</t>
  </si>
  <si>
    <t>02586/2023</t>
  </si>
  <si>
    <t>Contrato n. 15/2024</t>
  </si>
  <si>
    <t>Serviços de Suporte Técnico para Equipamentos de Armazenagem de Dados (Storage Huawei)</t>
  </si>
  <si>
    <t>Manter a infraestrutura do ambiente</t>
  </si>
  <si>
    <t>09620/2021</t>
  </si>
  <si>
    <t>Contrato n. 35/2022</t>
  </si>
  <si>
    <t>CATSER - 27413</t>
  </si>
  <si>
    <t>3.3.90.40.06</t>
  </si>
  <si>
    <t xml:space="preserve">Serviços de sustentação da subscrição de software online para apoio ao escritório de projetos, gerente de projetos, atividades, e geração de relatórios nativos pela solução e consultoria em implantação. - Contrato 21/2022 </t>
  </si>
  <si>
    <t>Sustentação ao Portfólio de Projetos de TIC do CNJ</t>
  </si>
  <si>
    <t>06738/2021</t>
  </si>
  <si>
    <t>Contrato n. 21/2022</t>
  </si>
  <si>
    <t>Serviços de suporte técnico para a fitoteca - Contrato 03/2022</t>
  </si>
  <si>
    <t>01203/2021</t>
  </si>
  <si>
    <t>Contrato n. 03/2022</t>
  </si>
  <si>
    <t>Serviços de Reabastecimento dos Tanques do Gerador - DATACENTER - Grupo 03</t>
  </si>
  <si>
    <t>Garantir o funcionamento dos geradores</t>
  </si>
  <si>
    <t>00683/2024</t>
  </si>
  <si>
    <t>Contrato n. 04/2024 / Nota de Empenho n. 26/2024</t>
  </si>
  <si>
    <t>CATSER - 2356</t>
  </si>
  <si>
    <t>Contrato n. 04/2024 / Nota de Empenho n. 27/2024</t>
  </si>
  <si>
    <t>3.3.90.40.13</t>
  </si>
  <si>
    <t xml:space="preserve">Serviços de links de internet com serviço de proteção a DDOS ( Link 1, redundante ao link 2) - Contrato 27/2020 - ConnectX - Substituto do Contrato 27/2020 </t>
  </si>
  <si>
    <t>Manter o acesso à internet</t>
  </si>
  <si>
    <t>CATSER - 26174</t>
  </si>
  <si>
    <t>Serviços de links de internet com serviço de proteção a DDOS ( Link 1, redundante ao link 2) - Contrato 27/2020 - ConnectX -</t>
  </si>
  <si>
    <t>10681/2020</t>
  </si>
  <si>
    <t>Contrato n. 27/2020</t>
  </si>
  <si>
    <t xml:space="preserve">Serviços de links de internet com serviço de proteção a DDOS (Link 2, redundante ao link 1) - Contrato 28/2020 - RD Telecom - Substituto do  Contrato 28/2020 </t>
  </si>
  <si>
    <t>Serviços de links de internet com serviço de proteção a DDOS (Link 2, redundante ao link 1) - Contrato 28/2020 - RD Telecom</t>
  </si>
  <si>
    <t>10683/2020</t>
  </si>
  <si>
    <t>Contrato n. 28/2020</t>
  </si>
  <si>
    <t>4.4.90.40.06</t>
  </si>
  <si>
    <t>Sistema Informatizado de Gestão de Pessoas</t>
  </si>
  <si>
    <t xml:space="preserve">Risco no processamento da Folha de Pagamento do CNJ. SEI n. 02820/2022. Para gerenciar os eventos de pessoal e gerar a Folha de Pagamento, o Conselho Nacional de Justiça (CNJ) conta hoje com o Sistema de Gestão de Recursos Humanos – SGRH, desenvolvido há mais de vinte anos, em uma estrutura já considerada ultrapassada para os padrões atuais, o que vem dificultando a manutenção e a evolução de suas funcionalidades. </t>
  </si>
  <si>
    <t>02820/2022</t>
  </si>
  <si>
    <t>CATSER - 27006</t>
  </si>
  <si>
    <t>TED 08/2020 (STF e CNJ) - Utilização de uma área equivalente a 11,8 metros quadrados do espaço total da sala cofre principal do STF</t>
  </si>
  <si>
    <t>Manter contingência da solução de backup utilizada pelo CNJ</t>
  </si>
  <si>
    <t>10014/2020</t>
  </si>
  <si>
    <t>TED 08/2020</t>
  </si>
  <si>
    <t>3.3.90.40.10</t>
  </si>
  <si>
    <t>Contratação de serviço de Central de Serviços.</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</si>
  <si>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</si>
  <si>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</si>
  <si>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Contrato n. 35/2023</t>
  </si>
  <si>
    <t>Solução de Gestão de Processos de Negócio (BPMS - Business Process Management Software/Suite)</t>
  </si>
  <si>
    <t>Implantação de ferramenta integrada de gestão de processos. A solução não visa unicamente a utilização da ferramenta na SEGPP, visto que o objetivo é a adoção de uma ferramenta integrada para gestão dos processos de TIC do DTI.</t>
  </si>
  <si>
    <t>13359/2024</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</si>
  <si>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</si>
  <si>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</si>
  <si>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03022/2023</t>
  </si>
  <si>
    <t>Contrato n. 17/2024</t>
  </si>
  <si>
    <t>CATSER - 26972</t>
  </si>
  <si>
    <t>Contratação de licenças NetBackup, incluindo garantia do software em sua última versão, por 5 (cinco) anos.</t>
  </si>
  <si>
    <t>Por meio do contrato n. 38/2021 o CNJ adquiriu garantia do licenciamento do software Netbackup por 24 meses. Após o encerramento deste prazo (em dezembro de 2023), será necessário realizar nova contratação para manutenção da utilização do software.</t>
  </si>
  <si>
    <t>01931/2023</t>
  </si>
  <si>
    <t>Contrato n. 07/2024</t>
  </si>
  <si>
    <t>Serviços de Manutenção do Parque de Computadores Servidores do CNJ (Dell e HP) - Contrato 31/2021</t>
  </si>
  <si>
    <t>Soluções de TIC do Portfólio de TIC, exceto os sistemas hospedados na nuvem</t>
  </si>
  <si>
    <t>03778/2021</t>
  </si>
  <si>
    <t>Contrato n. 31/2021</t>
  </si>
  <si>
    <t>CATSER - 27359</t>
  </si>
  <si>
    <t>Serviços de Suporte Appliance Backup. Contrato 38/2021 - JAMC Consultoria</t>
  </si>
  <si>
    <t>03851/2021</t>
  </si>
  <si>
    <t>Contrato n. 38/2021</t>
  </si>
  <si>
    <t>Suporte técnico para os 16 módulos de infraestrutura computacional hiperconvergente já existentes na infraestrutura tecnológica do CNJ</t>
  </si>
  <si>
    <t>02501/2024</t>
  </si>
  <si>
    <t>Serviços de Sustentação de Recuperação dos dados contidos no Cadastros de Pessoa Física (CPF) e Pessoa Jurídica(CNPJ), para fornecimento de informações ao PJe e outros sistemas do Conselho Nacional de Justiça - Contrato 06/2022</t>
  </si>
  <si>
    <t>Sustenta aplicações que necessitam dos dados da Receita Federal</t>
  </si>
  <si>
    <t>IV</t>
  </si>
  <si>
    <t>03235/2021</t>
  </si>
  <si>
    <t>Contrato n. 06/2022</t>
  </si>
  <si>
    <t>Contratação de empresa especializada na prestação de serviço de internet móvel, de forma continuada, nas modalidades Local e Longa Distância Nacional (LDN), com roaming, com o fornecimento de modens de 04 (quatro) portas gigabit (10/100/1000), 4G LTE Wifi Router com taxa de 300 Mbps e respectivos chips SIMCard.</t>
  </si>
  <si>
    <t>É necessidade do CNJ a disponibilização, para usuários deste Conselho em eventos internos, de internet sem fio em ambientes sem outras formas de acesso.</t>
  </si>
  <si>
    <t>03081/2024</t>
  </si>
  <si>
    <t>Contrato n. 33/2024</t>
  </si>
  <si>
    <t>CATSER - 26344</t>
  </si>
  <si>
    <t>4.4.90.52.41</t>
  </si>
  <si>
    <t>Aquisição de microcomputadores para o Conselho Nacional de Justiça - ATA 02/2025</t>
  </si>
  <si>
    <t>Necessidade de disponibilização de computadores desktops mais modernos, principalmente considerando que as atividades desenvolvidas neste conselho possuem forte dependência tecnológica. Assim, a presente proposta de aquisição demonstra-se importante para a melhoria da mobilidade e manutenção da continuidade dos trabalhos executados pelos usuários do CNJ, impactando positivamente nos resultados a serem alcançados.</t>
  </si>
  <si>
    <t>00428/2025</t>
  </si>
  <si>
    <t>ARP n. 02/2025</t>
  </si>
  <si>
    <t>CATMAT - PDM 7010</t>
  </si>
  <si>
    <t>Licenças Microsoft (Office 365, Windows e outros) - Substituto do Contrato 32/2021 - SEI 04521/2024</t>
  </si>
  <si>
    <t xml:space="preserve">Necessário para: manter todas as ferramentas de colaboração / manter as ferramentas de produtividade online / possibilitar a instalação do office nos computadores / Licenciar os pcs com Windows / Manter os portáteis seguros com o Security Mobile / Manter o licenciamento do servidores windows e sql server ativos / manter licenciamento de visio online / Permitir reuniões e eventos do CNJ. atender </t>
  </si>
  <si>
    <t>04521/2024</t>
  </si>
  <si>
    <t>Contrato n. 39/2024</t>
  </si>
  <si>
    <t xml:space="preserve">Prestação do fornecimento de subscrição Elastic Cloud Enterprise e serviço - Substituto do Contrato 05/2020 - ASPER </t>
  </si>
  <si>
    <t>Datajud</t>
  </si>
  <si>
    <t>09496/2024</t>
  </si>
  <si>
    <t>ARP 07/2025</t>
  </si>
  <si>
    <t>CATSER - 27073</t>
  </si>
  <si>
    <t>Serviços especializados "elastic cloud enterprise" - Substituto do Contrato 43/2019</t>
  </si>
  <si>
    <t>O CNJ conseguirá ter maiores insumos para definições de políticas nacionais para o Judiciário</t>
  </si>
  <si>
    <t>Aquisição de monitores de vídeo -  ATA 01/2025</t>
  </si>
  <si>
    <t>00427/2025</t>
  </si>
  <si>
    <t>ARP n. 01/2025</t>
  </si>
  <si>
    <t>CATMAT - PDM 6669</t>
  </si>
  <si>
    <t>Suporte Microsoft Unified</t>
  </si>
  <si>
    <t>12099/2024</t>
  </si>
  <si>
    <t>AWS Professional Service</t>
  </si>
  <si>
    <t>10586/2024</t>
  </si>
  <si>
    <t>CATSER - 26069</t>
  </si>
  <si>
    <t>Contratação de Serviços de Suporte Técnico e expansão da plataforma de visualização e descoberta de dados. Subsituto do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</si>
  <si>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</si>
  <si>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13436/2024</t>
  </si>
  <si>
    <t>Contrato n. 03/2025</t>
  </si>
  <si>
    <t xml:space="preserve">Prestação dos serviços de link de comunicação para interligação das unidades descentralizadas do CNJ. - Substituto do Contrato 06/2020 SERPRO </t>
  </si>
  <si>
    <t>Garantir a conectividade entre a sede (SAFS), Sala cofre (514 norte) e STF.</t>
  </si>
  <si>
    <t>05816/2024</t>
  </si>
  <si>
    <t xml:space="preserve">Prestação dos serviços de link de comunicação para interligação das unidades descentralizadas do CNJ. - Contrato 06/2020 SERPRO </t>
  </si>
  <si>
    <t>00436/2020</t>
  </si>
  <si>
    <t>Contrato n. 06/2020</t>
  </si>
  <si>
    <t xml:space="preserve">Suporte técnico switchs </t>
  </si>
  <si>
    <t>CATSER - 22993</t>
  </si>
  <si>
    <t>Aquisição de computadores de Alto desempenho - ATA 01/2025</t>
  </si>
  <si>
    <t>Renovação de subscrição de licenças do software CISCO WEBEX para a realização de videoconferências via Interne</t>
  </si>
  <si>
    <t>a realização, de maneira virtual, as sessões plenárias, audiências e eventos institucionais; o uso de ferramentas administrativas para o gerenciamento de eventos virtuais;
a realização de eventos virtuais com cerca de 1000 usuários, sem perda de eficiência.</t>
  </si>
  <si>
    <t>03070/2024</t>
  </si>
  <si>
    <t>Leitor de QR Code, sistema de envio de convites e impressora portátil</t>
  </si>
  <si>
    <t>CATMAT - PDM 13687</t>
  </si>
  <si>
    <t>Impressora Fotográfica. Compatível com tamanho até A3</t>
  </si>
  <si>
    <t>CATMAT - PDM 17754</t>
  </si>
  <si>
    <t>Contratação de 5 (cinco) licenças da ferramenta MindMeister. MindMeister é uma ferramenta online de mapeamento mental que permite aos usuários criar, compartilhar e colaborar em mapas mentais de forma visual e interativa. Esta plataforma é amplamente utilizada para brainstorming, planejamento de projetos, organização de informações e estudos. É uma ferramenta  poderosa e flexível para criação e gestão de mapas mentais, facilitando a visualização, organização e colaboração de ideias e informações de forma eficiente e intuitiva.</t>
  </si>
  <si>
    <t>Ferramenta de apoio ao planejamento dos projetos</t>
  </si>
  <si>
    <t>Contratação de 5 (cinco) licenças da ferramenta Padlet. O Padlet é uma ferramenta online de colaboração e organização que permite aos usuários criar murais virtuais, painéis de ideias, listas e outros tipos de conteúdos visuais. É amplamente utilizado em ambientes educacionais e empresariais devido à sua flexibilidade e facilidade de uso.</t>
  </si>
  <si>
    <t>Ferramenta de apoio às oficinas de planejamento dos projetos. Permite a participação e colaboração on-line de todos os envolvidos no projeto no momento de ideação/planejamento.</t>
  </si>
  <si>
    <t>0004</t>
  </si>
  <si>
    <t>3.3.90.39.00</t>
  </si>
  <si>
    <t>TED 02/2020 - UFPE = Projeto Laboratório de Mineração de Processos no Judiciário</t>
  </si>
  <si>
    <t>Fomentar a Transformação Digital</t>
  </si>
  <si>
    <t>01764/2020</t>
  </si>
  <si>
    <t>TED 20/2020</t>
  </si>
  <si>
    <t>3.3.90.14.14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</si>
  <si>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</si>
  <si>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</si>
  <si>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00002/2025</t>
  </si>
  <si>
    <t>Treinamento DTI</t>
  </si>
  <si>
    <t>Incentivar o desenvolvimento de capacidades dos Sevidores de TIC</t>
  </si>
  <si>
    <t>SEG0</t>
  </si>
  <si>
    <t>Serviços e soluções para adequação do CNJ à Lei 13.709/2018, Lei Geral de Proteção de Dados (LGPD) - 02094/2021</t>
  </si>
  <si>
    <t>Manter a conformidade com a LGPD</t>
  </si>
  <si>
    <t>02094/2021</t>
  </si>
  <si>
    <t>Contrato n. 27/2022</t>
  </si>
  <si>
    <t>CATSER - 27340</t>
  </si>
  <si>
    <t>Serviços de Apoio Técnico da Solução GRC ( Governança Riscos e Compliance) - Contrato 10/2022</t>
  </si>
  <si>
    <t>Manter a segurança das aplicações e ativos que compõem o Portfólio de TIC. Operacionalizar a Gestão de Riscos e a Gestão da Continuidade de Serviços Essenciais de TIC.</t>
  </si>
  <si>
    <t>01619/2021</t>
  </si>
  <si>
    <t>Contrato n. 10/2022</t>
  </si>
  <si>
    <t>Solução de análise de vulnerabilidades do Conselho Nacional de Justiça (CNJ) - Substituto do Contrato 26/2021</t>
  </si>
  <si>
    <t>Manter a segurança das aplicações que compõem o Portfólio de TIC</t>
  </si>
  <si>
    <t>05892/2023</t>
  </si>
  <si>
    <t>Solução de Segurança de Perímetro de Rede (Serviço de Suporte Técnico on site/remoto para toda a solução Fortinet e seus componentes.)</t>
  </si>
  <si>
    <t>03987/2022</t>
  </si>
  <si>
    <t>Contrato n. 01/2023</t>
  </si>
  <si>
    <t>3.3.90.40.23</t>
  </si>
  <si>
    <t>Serviços de emissão de certificados digitais padrão ICP-Brasil, incluindo visitas para sua emissão, bem como o fornecimento de dispositivos tokens USB para armazenamento. - Contrato 14/2024 - AR RP CERTIFICAÇÃO DIGITAL</t>
  </si>
  <si>
    <t>Possibilitar acesso aos serviços que exigem o certificado digital como meio de acesso</t>
  </si>
  <si>
    <t>09278/2023</t>
  </si>
  <si>
    <t>Contrato n. 14/2024</t>
  </si>
  <si>
    <t>CATSER - 27227</t>
  </si>
  <si>
    <t>Contratação de solução/serviço de gestão de acesso privilegiado (PAM)</t>
  </si>
  <si>
    <t>Proteção de credenciais privilegiadas</t>
  </si>
  <si>
    <t>Contratação de solução/serviço de gestão de vulnerabilidades de containers</t>
  </si>
  <si>
    <t>Falta de gestão de vulnerabilidades de infraestrutura de containers</t>
  </si>
  <si>
    <t xml:space="preserve">Serviços Gerenciados de Segurança da Informação (MSS) - Contrato 08/2021 - ISH </t>
  </si>
  <si>
    <t>Manter a segurança dos recursos de TIC</t>
  </si>
  <si>
    <t>00131/2020</t>
  </si>
  <si>
    <t>Contrato n. 08/2021</t>
  </si>
  <si>
    <t>Solução de proteção de perímetro de rede (firewall)</t>
  </si>
  <si>
    <t xml:space="preserve">O contrato atual 01/2023 (SEI 03987/2022) tem vigência até 02/2026 sem possibilidade renovação e o equipamento Fortigate 1500D está em end-of-life. Dessa forma, será necessário a aquisição de um novo equipamento junto com os serviços de garantia e suporte técnico da solução. </t>
  </si>
  <si>
    <t>CATMAT - PDM 6853</t>
  </si>
  <si>
    <t>0006</t>
  </si>
  <si>
    <t>3.3.90.39.51</t>
  </si>
  <si>
    <t>DPJ</t>
  </si>
  <si>
    <t xml:space="preserve">7ª Edição da Série Justiça Pesquisa </t>
  </si>
  <si>
    <t>Trata-se de programa contínuo, realizado desde 2012, que consiste na contratação de pesquisas que subsidiem a implementação e avaliação de políticas judiciárias, conforme art. 5º da Lei 11. 364, de 26 de outubro de 2006. Seria uma  pesquisa com valor cheio (100%) com valor de R$ 440.075,66 - a iniciar em 2025; três pesquisas a serem iniciadas em 2024, com pagamento de 20% em 2024 e de 80% em 2025, além de mais R$ 188.274,10 do restante da pesquisa iniciada no ano de 2024 (litigância predatória).</t>
  </si>
  <si>
    <t>II</t>
  </si>
  <si>
    <t>06496/2024 e 11448/2024</t>
  </si>
  <si>
    <t>CATSER - 15342</t>
  </si>
  <si>
    <t>Demandas COIN - Assinatura de bases de dados</t>
  </si>
  <si>
    <t xml:space="preserve">Assinatura de bases de dados em meio digital. Trata-se de solução que busca suprir as necessidades de informação do CNJ. </t>
  </si>
  <si>
    <t>00831/2024</t>
  </si>
  <si>
    <t>CATSER - 23108</t>
  </si>
  <si>
    <t>Digital Objetc Identifier (DOI)</t>
  </si>
  <si>
    <t>Compra de identificador único para publicações científicas digitais, utilizado internacionalmente. A adoção de DOI auxilia na visibilidade e contagem de citações para a Revista CNJ, um dos critérios da CAPES para atribuição de Qualis aos periódicos científicos.</t>
  </si>
  <si>
    <t>00121/2024</t>
  </si>
  <si>
    <t>Contrato n. 24/2024</t>
  </si>
  <si>
    <t>3.3.90.39.05</t>
  </si>
  <si>
    <t>Serviços de tradução</t>
  </si>
  <si>
    <t>Contratação de serviços de tradução não juramentada de textos, documentos e outros, com o objetivo de divulgar as publicações do DPJ/CNJ junto a públicos mais amplos.</t>
  </si>
  <si>
    <t>III</t>
  </si>
  <si>
    <t>05728/2023</t>
  </si>
  <si>
    <t>Contrato n. 10/2024</t>
  </si>
  <si>
    <t>0007</t>
  </si>
  <si>
    <t>3.3.90.93.11</t>
  </si>
  <si>
    <t>SGP</t>
  </si>
  <si>
    <t>Concessão de Bolsas de Pós-Gradução</t>
  </si>
  <si>
    <t xml:space="preserve">O CNJ oferece regularmente bolsas de pós-graduação aos servidores e conselheiros interessados em adquirir esse conhecimento extras além de sua graduação. São concedidas bolsas para cursos de:
Especialização (lato sensu), Mestrado e Doutorado (stictu sensu). O dispositivo que regulamenta as bolsas de pós graduação é a IN nº 86/2022.
No cálculo estamos prevendo atualização do teto das bolsas atualizados por dois anos acumulado do IPCA. Considerando as bolsas vigentes (12) e as (13) novas bolsas a serem concedidas em 2025.
</t>
  </si>
  <si>
    <t>Realização de Eventos de Capacitação de Servidores (Internos e Externos)</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</si>
  <si>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Para 2025 estamos estimando custo médio de R$ 372,88 por servidor capacitado.</t>
  </si>
  <si>
    <t>Concessão de Bolsas de Língua Estrangeira</t>
  </si>
  <si>
    <t xml:space="preserve"> O dispositivo que regulamenta as bolsas de língua é a IN nº 32/2015.
Não há previsão de novas bolsas para 2025. O valor será para pagamento das bolsas já concedidas nos anos anteriores.</t>
  </si>
  <si>
    <t>Programa de Desenvolvimento de Líderes</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</si>
  <si>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158 líderes e a meta de capacitar pelo menos 50% dos gestores em pelo menos 15 horas de participação nos eventos que compôem o Programa de Desenvolvimento de Líderes, projeta-se a necessidade de capacitar 79 gestores com o custo unitário de R$ 1265,82.</t>
  </si>
  <si>
    <t>Programa de Certificação Profissional</t>
  </si>
  <si>
    <t>O Programa de Certificação Profissional é destinado a obtenção ou renovação de certificação profissional, conforme dispõe o art. 2º da Instrução Normativa nº 79, de 27 de agosto de 2021.
Este valor contempla a oferta de de até 5 bolsas de certificação profissional de até R$ 5.000,00 por servidor.</t>
  </si>
  <si>
    <t>Mestrado Profissional em Economia -  área de concentração em governança no setor público.</t>
  </si>
  <si>
    <t>Parceria entre STF e UnB será firmada por meio de Termo de Execução Descentralizada, e o valor unitário do curso é de R$ 59.410,09 (cinquenta e nove mil quatrocentos e dez reais e nove centavos). Nesse sentido, o custeio referente às vagas a serem preenchidas por servidores do CNJ deverá ser feito por meio de ressarcimento ao STF, no valor correspondente ao quantitativo de vagas. O CNJ irá participará com 5 vagas.</t>
  </si>
  <si>
    <t>sim</t>
  </si>
  <si>
    <t>05920/2024</t>
  </si>
  <si>
    <t>216H</t>
  </si>
  <si>
    <t>AMMM</t>
  </si>
  <si>
    <t>3.3.90.93.03</t>
  </si>
  <si>
    <t>Ajuda de Custo para moradia a magistrados e membros do Ministério Público. (Auxílo-Moradia para magistrados).</t>
  </si>
  <si>
    <t>Levou-se em consideração a quantidade atual de beneficiários, a média dos valores gastos com este benefício nos anos anteriores e a possibilidade de reajuste desse benefício no ano de 2025.
Atualmente temos apenas 1 beneficiário (Juiz Auxiliar) e o ressarcimento mensal desse magistrado gira em torno de R$ 4.158,85. 
Estimando que para 2025 apenas 2 beneficiarios percebam o referido auxilio, o valor mensal, com todos os ressarcimentos, passaria para R$ 8.317,70. 
Assim, estima-se que o valor necessário para 12 meses seja de R$ 99.812,40.</t>
  </si>
  <si>
    <t>AMOA</t>
  </si>
  <si>
    <t>3.3.90.93.07</t>
  </si>
  <si>
    <t>Auxílio-moradia para outros agentes públicos - ativos. (Auxílio-Moradia para servidores).</t>
  </si>
  <si>
    <t>Levou-se em consideração a quantidade atual de beneficiários, a média dos valores gastos com este benefício nos anos anteriores e a possibilidade de reajuste desse benefício no ano de 2025. 
Caso seja autorizado o reajuste advindo da Lei nº 14.523 de 09/01/2023, será devido 18,13%.
Atualmente temos apenas 11 beneficiários e o ressarcimento mensal com todos os beneficiários gira em torno de R$ 31.338,00.
Estimando que para 2025 o número aumente para 12 servidores e que seja concedido o reajuste de 18,13%, o valor mensal, com todos os ressarcimentos, passaria para R$ 40.384,99.
Assim, estima-se que o valor necessário para 12 meses seja de de R$ 484.619,95</t>
  </si>
  <si>
    <t>0008</t>
  </si>
  <si>
    <t>CEAJUD</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</si>
  <si>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</si>
  <si>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</si>
  <si>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I</t>
  </si>
  <si>
    <t>CATSER - 19321</t>
  </si>
  <si>
    <t xml:space="preserve">Capacitação de Servidores - Presencial Investimento para pagamento dos instrutores dos cursos
 presenciais oferecidos pelo CEAJUD e ANSPJ - </t>
  </si>
  <si>
    <t>Com o retorno das atividades presenciais,
novos cursos presenciais de mediação, adminissibilidade recursal, formação de entrevistadores forenses, cursos sobre o marco legal devem retornar à agenda do CEAJUD. Além disso foi criada a Academia Nacional de Segurança do Poder Judiciário que está compartilhando os recursos orçamentários do CEAJUD.</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</si>
  <si>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</si>
  <si>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</si>
  <si>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000A</t>
  </si>
  <si>
    <t>SCS</t>
  </si>
  <si>
    <t>Assessoria de Comunicação Social 1 - apoio administrativo</t>
  </si>
  <si>
    <t xml:space="preserve">A prestação de serviço especializado em comunicação social </t>
  </si>
  <si>
    <t>04788/2021</t>
  </si>
  <si>
    <t>Contrato n. 07/2022</t>
  </si>
  <si>
    <t>Assessoria de Comunicação Social 1- apoio administrativo</t>
  </si>
  <si>
    <t>09492/2024</t>
  </si>
  <si>
    <t>Áudio e vídeo - apoio administrativo</t>
  </si>
  <si>
    <t>Serviços de manutenção preventiva e corretiva de equipamentos de áudio e vídeo.</t>
  </si>
  <si>
    <t>08029/2023</t>
  </si>
  <si>
    <t>Contrato n. 05/2024</t>
  </si>
  <si>
    <t>3.3.90.39.49</t>
  </si>
  <si>
    <t>Clipping 1</t>
  </si>
  <si>
    <t>Prestação de serviço especializado em coleta de notícias de interesse do Conselho Nacional de Justiça</t>
  </si>
  <si>
    <t>08552/2019</t>
  </si>
  <si>
    <t>Contrato n. 12/2020</t>
  </si>
  <si>
    <t>CATSER - 22870</t>
  </si>
  <si>
    <t>Clipping 2</t>
  </si>
  <si>
    <t>13442/2024</t>
  </si>
  <si>
    <t>3.3.90.39.63</t>
  </si>
  <si>
    <t xml:space="preserve">Material  gráfico 1 </t>
  </si>
  <si>
    <t>Impressão de folhetos, banners, folders e outros materiais de grande volume em papel.</t>
  </si>
  <si>
    <t>XV</t>
  </si>
  <si>
    <t>01426/2024</t>
  </si>
  <si>
    <t>ARP 08/2024</t>
  </si>
  <si>
    <t>CATSER - 21504</t>
  </si>
  <si>
    <t>Material Vinil 1</t>
  </si>
  <si>
    <t>Prestação de serviços de impressão em vinil para eventos. Necessário para a maior parte dos eventos para fins de divulgação e sinalização</t>
  </si>
  <si>
    <t>09517/2023</t>
  </si>
  <si>
    <t>ARP 09/2024</t>
  </si>
  <si>
    <t xml:space="preserve">Jornais e revistas  online </t>
  </si>
  <si>
    <t>Serviço de assinatura de revistas e jornais nacionais de forma on line com o objetivo de receber notícias dos cenários nacional e internaciona</t>
  </si>
  <si>
    <t>01828/2024</t>
  </si>
  <si>
    <t>Contrato n. 21/2024</t>
  </si>
  <si>
    <t>STF - Produção de Programas de TV e Rádio por meio do Termo de Cooperação com o STF (SEI 04231/2018/ SEI 05055/2019 / SEI 10149/2021)</t>
  </si>
  <si>
    <t>Produção de programas busca disseminar a informação sobre matérias que ocorrem no CNJ, bem como de interesse o Poder Judicário</t>
  </si>
  <si>
    <t>08217/2022, 02386/2024</t>
  </si>
  <si>
    <t>TED 03/2019 e TED 2/2024</t>
  </si>
  <si>
    <t>Monitoramento de redes sociais 1</t>
  </si>
  <si>
    <t xml:space="preserve">Gerenciar os canais oficiais do CNJ nas redes socias, conhecer melhor os usuários e definir estrateégias para melhora do alcance das publicações. </t>
  </si>
  <si>
    <t>08820/2021</t>
  </si>
  <si>
    <t>Contrato n. 28/2022</t>
  </si>
  <si>
    <t>Monitoramento de redes sociais 2</t>
  </si>
  <si>
    <t>01033/2025</t>
  </si>
  <si>
    <t xml:space="preserve">Templates  </t>
  </si>
  <si>
    <t>Gerenciar o conteúdo de apresentação viusal para vídeos</t>
  </si>
  <si>
    <t>CATSER - 16535</t>
  </si>
  <si>
    <t xml:space="preserve">Flirkr 1 </t>
  </si>
  <si>
    <t>Ferramenta assinatura anual de serviço de armazenamento de imagens do CNJ</t>
  </si>
  <si>
    <t>Suprimento de fundos</t>
  </si>
  <si>
    <t>06474/2024</t>
  </si>
  <si>
    <t xml:space="preserve">Flirkr 2 </t>
  </si>
  <si>
    <t>Newsletter</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</si>
  <si>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</si>
  <si>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4640/2024</t>
  </si>
  <si>
    <t>Lnk.Bio Instagram</t>
  </si>
  <si>
    <t>ferramento de integração de link no Instagram</t>
  </si>
  <si>
    <t>09719/2023</t>
  </si>
  <si>
    <t>CATSER - 24988</t>
  </si>
  <si>
    <t xml:space="preserve">Mailing </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</si>
  <si>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</si>
  <si>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10023/2023</t>
  </si>
  <si>
    <t>Contrato n. 01/2024</t>
  </si>
  <si>
    <t xml:space="preserve">Libras  </t>
  </si>
  <si>
    <t>Contratação da ferramenta de tradução de libras e voz para o Portal CNJ.</t>
  </si>
  <si>
    <t>09561/2022</t>
  </si>
  <si>
    <t>Contrato n. 17/2023</t>
  </si>
  <si>
    <t>CATSER - 27928</t>
  </si>
  <si>
    <t xml:space="preserve">TV por assinatura </t>
  </si>
  <si>
    <t xml:space="preserve">Contratação de empresa especializada emm prestação de serviço  prestação de serviços de TV por assinatura para colher informações para realização de matérias judiciárias.  </t>
  </si>
  <si>
    <t>13815/2023</t>
  </si>
  <si>
    <t>Contrato n. 13/2024</t>
  </si>
  <si>
    <t>CATSER - 16209</t>
  </si>
  <si>
    <t>Pllug in elementor</t>
  </si>
  <si>
    <t xml:space="preserve">Contratação Contratação de plugin Elementor é um plugin para criação de sites e páginas do WordPress. . </t>
  </si>
  <si>
    <t>07142/2024</t>
  </si>
  <si>
    <t>CATSER - 26077</t>
  </si>
  <si>
    <t>Audio e video equipamentos despesa corrente</t>
  </si>
  <si>
    <t xml:space="preserve">Compra de equipamento correntes como conectores e bobinas de audio e video </t>
  </si>
  <si>
    <t xml:space="preserve">Não </t>
  </si>
  <si>
    <t>CATMAT - PDM 6743</t>
  </si>
  <si>
    <t>CJF -  ressarcimento despesas material gráfico e vinil (SEI 04344/2015/ SEI 04372/2021)</t>
  </si>
  <si>
    <t>desenvolvimento de ações com vistas à realização de serviços gráficos de interesse institucional do CNJ</t>
  </si>
  <si>
    <t>04372/2021</t>
  </si>
  <si>
    <t>TED 03/2021</t>
  </si>
  <si>
    <t>Equipamentos fotográficos, de audiovisual,  desing gráfico e imprensa</t>
  </si>
  <si>
    <t>Apoiar o núcleo de reportagem fotográfica da SCS.</t>
  </si>
  <si>
    <t>Aquisição de seguros para 15 (quinze) veículos Toyota Corolla</t>
  </si>
  <si>
    <t>14821/2024</t>
  </si>
  <si>
    <t>Exame nacional dos cartórios</t>
  </si>
  <si>
    <t>No dia 20/08/2024, o Plenário do Conselho Nacional de Justiça aprovou a criação do Exame Nacional dos Cartórios (ENAC), estabelecendo contexto no qual candidatos e candidatas interessados na obtenção de outorgas de delegações do serviço notarial e de registro deverão obter aprovação naquele exame antes de se inscreverem nos concursos promovidos pelos Tribunais de Justiça dos Estados e do Distrito Federal.</t>
  </si>
  <si>
    <t>17137/2024</t>
  </si>
  <si>
    <t>Contrato n. 01/2025</t>
  </si>
  <si>
    <t>CATSER - 10014</t>
  </si>
  <si>
    <t> </t>
  </si>
  <si>
    <t>Contratação de empresa especializada para a elaboração de inventário de gases de efeito estufa e diretrizes básicas para a compensação/mitigação das emissões geradas, com vistas a elaboração de Plano de Compensação Ambiental pelo Conselho.</t>
  </si>
  <si>
    <t>A Resolução CNJ nº 400/2021, que cuida da Política de Sustentabilidade do Poder Judiciário, trouxe, em seu art. 24, o dever dos órgãos do Poder Judiciário de implementar plano de compensação ambiental até o ano de 2023 (Agenda 2030 – ONU), a fim de reduzir, permanentemente, a emissão de gases de efeito estufa, resultante de seu funcionamento.
Ademais, o Planejamento Estratégico do CNJ, em seu Objetivo Estratégico 14, dispõe que o Conselho deve Impulsionar a implantação e a gestão das Políticas de Sustentabilidade e Acessibilidade e o indicador 27 acompanha o Índice de Execução do Plano de Logística Sustentável.
Nesse sentido, cabe ao CNJ, como órgão de governança do Poder Judiciário, seguir os ordenamentos, a partir da implementação das diretrizes estabelecidas em normativos e no plano estratégico, assim como nos seguintes pontos:
O inventário de GEE é um primeiro passo para que as organizações, públicas e privadas, possam contribuir para a luta contra as mudanças climáticas;
A elaboração do inventário permite identificar os impactos das atividades do órgão e, assim, estabelecer planos e metas para mitigar e/ou reduzir as emissões de GEE, a partir da identificação das oportunidades de redução e mitigação mais efetivas;
A publicação do inventário de GEE transmite transparência e credibilidade aos dados e demonstra o compromisso do CNJ com a temática da sustentabilidade, assim como motiva que outros órgãos públicos, em especial os tribunais e conselhos, implementem a medida.</t>
  </si>
  <si>
    <t>13163/2024</t>
  </si>
  <si>
    <t>CATSER - 825</t>
  </si>
  <si>
    <t>Aquisição de canecas/garrafas térmicas</t>
  </si>
  <si>
    <t>De acordo com o disposto na Resolução CNJ nº 400/2021, o PLS/CNJ é composto por indicadores de desempenho relacionados a temas como, por exemplo: qualidade de vida no ambiente de trabalho e aquisições e contratações sustentáveis. Para cada tema constante no PLS/CNJ, devem ser criadas ações que irão impulsioná-los, conforme determina o art. 9º.
Dessa forma, a aquisição das garrafas térmicas foi uma das ações planejadas pela Comissão Gestora do PLS/CNJ para compor o Plano de Ações do CNJ, tendo em vista a extinção da compra de copos plásticos e de garrafas de água descartáveis. A ação tem prazo de início em junho de 2024 e término em dezembro de 2024, e se dá como um incentivo e apoio ao corpo funcional a não mais utilizarem descartáveis, buscando a adoção de práticas e condutas sustentáveis no seu dia a dia, inclusive, com um incremento na sua qualidade de vida no ambiente de trabalho</t>
  </si>
  <si>
    <t>13167/2024</t>
  </si>
  <si>
    <t>Contratação de entidade sem fins lucrativos para desenvolvimento de atividades conjuntas que propiciem a formação técnico-profissional</t>
  </si>
  <si>
    <t>12698/2024</t>
  </si>
  <si>
    <t>Aquisição de Mangueiras de incêndio tipo 2</t>
  </si>
  <si>
    <t xml:space="preserve">040105 - SESIN </t>
  </si>
  <si>
    <t>04269/2024</t>
  </si>
  <si>
    <t>CATMAT - PDM 661</t>
  </si>
  <si>
    <t>Aquisição de materiais para confecção de crachás de identificação e de papéis de diversos formatos e gramaturas</t>
  </si>
  <si>
    <t>07899/2024</t>
  </si>
  <si>
    <t>Aquisição de canetas com acionamento por clique, personalizadas com a logo do CNJ.</t>
  </si>
  <si>
    <t>As canetas  personalizadas fazem parte dos materiais institucionais necessários para realização de eventos organizados ou apoiados pelo CNJ.
Elas são distribuídas, quando houver necessidade, entre Conselheiros, autoridades e público interno ou externo do evento, e serão utilizadas na realização dos eventos, por exemplo, para assinaturas de documentos, como acordo de cooperação técnica, protocolos de intenções e acordos de todo tipo feitos entre o CNJ e os demais órgãos da administração pública brasileira .</t>
  </si>
  <si>
    <t>07029/2024</t>
  </si>
  <si>
    <t>CATMAT - PDM 99</t>
  </si>
  <si>
    <t>Serviço de pintura epóxi antiderrapante no 1º Subsolo da Garagem do CNJ no edifício Premium.</t>
  </si>
  <si>
    <t xml:space="preserve">Conforme relatado no Despacho COIF 1826515, na ocorrência de chuvas os veículos ao adentrar o 1º subsolo do edifício premium deixam o piso molhado, com isso, em algumas situações, como frenagens bruscas, ou até mesmo durante manobras tem sido relatadas derrapagens, tanto de carros quanto de motos.
 Conforme relatado no Despacho COIF 1826515, na ocorrência de chuvas os veículos ao adentrar o 1º subsolo do edifício premium deixam o piso molhado, com isso, em algumas situações, como frenagens bruscas, ou até mesmo durante manobras tem sido relatadas derrapagens, tanto de carros quanto de motos.
 </t>
  </si>
  <si>
    <t xml:space="preserve">040134 - SEEMP </t>
  </si>
  <si>
    <t>04806/2024</t>
  </si>
  <si>
    <t>CATSER - 13455</t>
  </si>
  <si>
    <t>Aquisição de púlpitos, mesa e brasões para utilização em solenidades do Conselho Nacional de Justiça.</t>
  </si>
  <si>
    <t>O CNJ, para o alcance de sua missão institucional, promove, durante o ano, vários tipos de eventos demandados pela Presidência, Conselheiros e demais setores do órgão. A grande maioria dos eventos e solenidades realizados pelo CNJ se concentram, atualmente, em três espaços: Sala EA03, Auditório e Plenário. Dessa forma, faz-se necessário que os três espaços possuam todo o mobiliário e estrutura necessários à realização desses eventos.</t>
  </si>
  <si>
    <t>01223/2024</t>
  </si>
  <si>
    <t>Aquisição de carrinhos para transporte de materiais</t>
  </si>
  <si>
    <t>Nas atividades rotineiras da SEMAP, notadamente nos serviços de carregamento e estocagem de bens, utiliza-se carrinhos de transporte de materiais, sendo que os atualmente disponíveis estão danificados ou são inapropriados, o que está gerando dificuldades na realização das demandas e, a qualquer momento, a SEMAP poderá ficar desprovida de tais bens, caso não seja mais viável a realização de manutenções corretivas nesses carrinhos.
Ademais, conforme pode ser verificado no documento SEI nº 1936350, a maioria dos seis carrinhos da SEMAP são bastante antigos, sendo que três foram adquiridos em 2010, dois em 2013 e um em 2019.
Ressalte-se que equipamentos mais antigos podem exigir mais manutenção e reparos, o que pode aumentar os custos operacionais e o tempo de inatividade, bem como podem ser menos ergonômicos ou terem sistemas de segurança obsoletos, o que pode aumentar o risco de acidentes e lesões, e além desses aspectos, com o desgaste natural ao longo do tempo o desempenho do carrinho pode ser consideravelmente afetado, tornando-o menos confiável e mais suscetível a quebras e manutenções corretivas frequentes.
Atualmente, há na SEMAP três carrinhos tipo plataforma, sendo que dois estão em condições de uso, porém são de roda seca (pneus maciços - não pneumático), ocasionando ruídos e atrapalhando eventos e reuniões, tornando o uso inapropriado nestas ocasiões. O outro carrinho é inadequado, pois é construído em material frágil e não suporta serviço pesado, estando por esse motivo danificado. Salienta-se que os três já passaram por manutenções.
Assim, entende-se necessária a aquisição de dois carrinhos plataformas, cujos modelos escolhidos possuem maior capacidade de carga e são equipados com pneus de borracha evitando ruídos desnecessários.
Em relação ao outro modelo de carrinho (tipo armazém com duas rodas), há na SEMAP um com roda maciça e dois com rodas pneumáticas, todos são antigos e já passaram por diversas manutenções. Como os referidos carrinhos suportam o atendimento apenas de parte das demandas, entende-se necessária a aquisição de um carrinho mais largo, maior e que suporte uma carga mais elevada, visando evitar a deterioração e manutenções recorrentes dos demais carrinhos, tendo em vista que suportam uma carga menor.
Dessa forma, a aquisição visa substituir os carrinhos que estão deteriorados e passando por manutenções recorrentes, bem como atender à necessidade da equipe de carregadores de possuir ferramentas de trabalho que suportem as condições dos serviços demandados.
Importa também ressaltar o crescimento considerável das demandas da SEMAP, nos últimos anos, devido ao aumento do número de eventos internos e externos, o que justifica a necessidade de equipar de forma mais adequada a equipe dos carregadores deste Conselho. Além disso, com o aumento da demanda, o uso dos carrinhos se torna mais frequente, o que acelera a deterioração desses equipamentos.
Por fim, ressalte-se que a aquisição aqui proposta tem conexão com os objetivos estratégicos para o período de 2021-2026, estabelecidos nos incisos XI e XIV do art. 3º da Portaria n. 104/2020 – Presidência, pois visa “garantir infraestrutura adequada ao funcionamento do CNJ".</t>
  </si>
  <si>
    <t>10781/2024</t>
  </si>
  <si>
    <t>CATMAT - PDM 449</t>
  </si>
  <si>
    <t>Aquisição de materiais para a fabricação própria de três púlpitos e uma mesa em madeira para utilização em solenidades do Conselho Nacional de Justiça</t>
  </si>
  <si>
    <t>12782/2024</t>
  </si>
  <si>
    <t>Mobiliário plenário</t>
  </si>
  <si>
    <t>11231/2024</t>
  </si>
  <si>
    <t>CATMAT - PDM 12649</t>
  </si>
  <si>
    <t>Ressarcimentos, reembolsos e DEA - SAD</t>
  </si>
  <si>
    <t>Licenças do software Copilot para Microsoft 365</t>
  </si>
  <si>
    <t xml:space="preserve">05724/2024 </t>
  </si>
  <si>
    <t>Contratação de Serviços de Licenciamento e Suporte Técnico até a conclusão do contrato deste objeto que hoje está a cargo do Programa Justiça 4.0, PNUD</t>
  </si>
  <si>
    <t xml:space="preserve">13730/2024 </t>
  </si>
  <si>
    <t>Fornecimento de Unidades de Serviços de Conectividade para Nuvens Públicas (USCN's) para prestação de serviços técnicos especializados de natureza contínua na área de Tecnologia da Informação (TI) visando estabelecer conectividade privada para até 4 (quatro) provedores de serviços de computação em nuvem pública no Brasil pelo período de 30 (trinta) meses, prorrogável até o limite de 60 (sessenta) meses de prestação dos serviços.</t>
  </si>
  <si>
    <t>13441/2024</t>
  </si>
  <si>
    <t>Contrato n. 37/2024</t>
  </si>
  <si>
    <t>Aquisição novos appliances de backup</t>
  </si>
  <si>
    <t xml:space="preserve">13660/2024 </t>
  </si>
  <si>
    <t>Aquisição de fitas LTO7 para backup</t>
  </si>
  <si>
    <t>14463/2024</t>
  </si>
  <si>
    <t>Hiperconvergência -  itens 1, 2, 4, 5, 6 e 7 do TR</t>
  </si>
  <si>
    <t>4.4.90.52.35</t>
  </si>
  <si>
    <t>Renovação da garantia técnica, expansão e melhoria da rede de usuários do CNJ</t>
  </si>
  <si>
    <t>risco de descontinuidade da garantia técnica dos equipamentos adquiridos no Contrato n. 50/2019 caso a nova contratação não tenha sido concluída até dezembro de 2024, fim da vigência da garantia técnica dos equipamentos adquiridos.</t>
  </si>
  <si>
    <t>03380/2024</t>
  </si>
  <si>
    <t>3.3.90.40.01</t>
  </si>
  <si>
    <t>Serviços de emissão de certificados digitais padrão ICP-Brasil por entidade de Governo para acesso exclusivo ao SIAFI</t>
  </si>
  <si>
    <t>16177/2024</t>
  </si>
  <si>
    <t>Upgrade de 1000 licenças do Office 365 do plano E3 para o plano E5</t>
  </si>
  <si>
    <t>Serviço de Gerenciamento e Correlação de Eventos de Segurança (SIEM) - Substiuto do Zerum</t>
  </si>
  <si>
    <t>Remanejamento para SCS - Equipamentos fotográficos, de audiovisual,  desing gráfico e imprensa</t>
  </si>
  <si>
    <t>07792/2024</t>
  </si>
  <si>
    <t>Seguro Predial - 514 Norte</t>
  </si>
  <si>
    <t>Há a necessidade de resguardar o patrimônio imobiliário do CNJ, através da contratação de seguro predial, notadamente em virtude da idade do edifício e sua estrutura.</t>
  </si>
  <si>
    <t>00197/2025</t>
  </si>
  <si>
    <t>Assinatura do Autodesk Architecture, Engineering &amp; Construction Collection, único usuário, por 36 (trinta e seis) meses</t>
  </si>
  <si>
    <t>09399/2023</t>
  </si>
  <si>
    <t>Subscrição de licenças de uso de softwares Adobe com atualização na modalidade ETLA (36 meses). Substituto do Contrato 34/2021 – SEI 01002/2021</t>
  </si>
  <si>
    <t>Subscrição de licenças de uso de softwares Adobe com atualização na modalidade ETLA , pelo período de 36 meses. Atendimento das demandas da SCE e SPR, conforme formulário “Levantamento de Demandas das Áreas de Negócio para a elaboração da Proposta Orçamentária de TIC – 2024”, Processo SEI 02505/2023, para aquisição de licenças Adobe Acrobat.</t>
  </si>
  <si>
    <t>03141/2024</t>
  </si>
  <si>
    <t>Contrato n. 26/2024</t>
  </si>
  <si>
    <t>3.3.90.30.17</t>
  </si>
  <si>
    <t>Aquisição de suprimentos do scanner Fujitsu S1500</t>
  </si>
  <si>
    <t>08258/2024</t>
  </si>
  <si>
    <t>CATMAT - PDM 16636</t>
  </si>
  <si>
    <t>Contratações CPSI</t>
  </si>
  <si>
    <t>11914/2024</t>
  </si>
  <si>
    <t>Projeto Vida 360° - Propósito, saúde e felicidade</t>
  </si>
  <si>
    <t>02239/2025</t>
  </si>
  <si>
    <t>Contratação de serviço para criação, produção e montagem de painel artístico comemorativo. </t>
  </si>
  <si>
    <t>A aquisição do serviço em questão se justifica em razão da comemoração dos 20 anos do Conselho Nacional de Justiça. </t>
  </si>
  <si>
    <t>03724/2025</t>
  </si>
  <si>
    <t>CATSER - 15270</t>
  </si>
  <si>
    <t>Manutenção corretiva dos chillers do Edifício-Sede do CNJ</t>
  </si>
  <si>
    <t>O Edifício-Sede do CNJ possui quatro Chillers, cada qual com seis compressores, atualmente três chillers apresentaram queima de compressores estando três equipamentos com quatro compressores queimados que precisam ser trocados. Havia negociação com o propietário da edificação para que fosse realizado o conserto, entretanto com a aquisição da edificação pelo CNJ (processo nº 08135/2024) este encargo passou a ser deste Conselho. Tal decisão foi adotada pelo Diretor Geral, conforme consignado no E-mail Consulta SAD e DG benfeitorias pendentes (2132976).</t>
  </si>
  <si>
    <t>03583/2025</t>
  </si>
  <si>
    <t>CATSER - 22454</t>
  </si>
  <si>
    <t>Aquisição de prato, garfos e colheres a serem utilizados nas solenidades do Conselho Nacional de Justiça</t>
  </si>
  <si>
    <t>A compra visa repor alguns itens que já estão desgastados. Além disso, devido ao elevado número de eventos e convidados que o órgão vem recebendo, os itens atuais tornam-se insuficientes para atender às solenidades e almoços.</t>
  </si>
  <si>
    <t>03742/2025</t>
  </si>
  <si>
    <t>CATMAT - PDM 2665</t>
  </si>
  <si>
    <t>Manutenção de extintores e mangueiras de incêndio</t>
  </si>
  <si>
    <t>00664/2024</t>
  </si>
  <si>
    <t>CATSER - 3662</t>
  </si>
  <si>
    <t>Aquisição de notebooks para os usuários do Conselho Nacional de Justiça</t>
  </si>
  <si>
    <t>07971/2024</t>
  </si>
  <si>
    <t>CATMAT - PDM 8435</t>
  </si>
  <si>
    <t>Reconhecimento de dívida do Contrato de Nuvem (Contrato n. 12/2024)</t>
  </si>
  <si>
    <t>Progarama de residência jurídica</t>
  </si>
  <si>
    <t>03423/2025</t>
  </si>
  <si>
    <t>Saída de recursos ou Campo aguardando preenchimento</t>
  </si>
  <si>
    <t>Informações acrescentadas ou alteradas</t>
  </si>
  <si>
    <t>Entrada de recursos</t>
  </si>
  <si>
    <t>DETALHAMENTO FRACIONAMENTO DE DESPESAS 2025</t>
  </si>
  <si>
    <t>Grupo de natureza de despesa</t>
  </si>
  <si>
    <t>Múltiplos itens?</t>
  </si>
  <si>
    <t>Item</t>
  </si>
  <si>
    <t>3.3.90.39.74</t>
  </si>
  <si>
    <t>Prestação de serviço de frete</t>
  </si>
  <si>
    <t>16642/2024</t>
  </si>
  <si>
    <t>CATSER - 25208</t>
  </si>
  <si>
    <t>CATMAT- PDM 14614</t>
  </si>
  <si>
    <t>CATSER - 27219</t>
  </si>
  <si>
    <t>CATSER - 27189</t>
  </si>
  <si>
    <t>CATSER - 27197</t>
  </si>
  <si>
    <t>CATSER - 27170</t>
  </si>
  <si>
    <t>CATSER - 27510</t>
  </si>
  <si>
    <t>CATMAT - PDM 11167</t>
  </si>
  <si>
    <t>CATMAT - PDM 7590</t>
  </si>
  <si>
    <t>CATMAT - PDM 170</t>
  </si>
  <si>
    <t>CATMAT - PDM 19746</t>
  </si>
  <si>
    <t>CATMAT - PDM 16549</t>
  </si>
  <si>
    <t>CATMAT - PDM 11336</t>
  </si>
  <si>
    <t>CATMAT - PDM 5396</t>
  </si>
  <si>
    <t>CATMAT - PDM 8633</t>
  </si>
  <si>
    <t>CATMAT - PDM 1509</t>
  </si>
  <si>
    <t>CATMAT - PDM 85</t>
  </si>
  <si>
    <t>CATMAT - PDM 13894</t>
  </si>
  <si>
    <t>CATMAT - PDM 639</t>
  </si>
  <si>
    <t>CATMAT - PDM 585</t>
  </si>
  <si>
    <t>CATMAT - PDM 7174</t>
  </si>
  <si>
    <t>310 litros de Combustível</t>
  </si>
  <si>
    <t> Atender necessidade em viagem oficial da Unidade</t>
  </si>
  <si>
    <t>00772/2025 e 00774/2025</t>
  </si>
  <si>
    <t>CATMAT - PDM 19737</t>
  </si>
  <si>
    <t>Gastos emergenciais com o veículo</t>
  </si>
  <si>
    <t>CATSER - 13552</t>
  </si>
  <si>
    <t>Assinatura de serviço de pesquisa de credenciais comprometidas do CNJ (e-mails e senhas presentes em vazamentos conhecidos)</t>
  </si>
  <si>
    <t>O site "Have I Been Pwned - HIBP" (https://haveibeenpwned.com) fornece um serviço para verificar se seus dados foram atacados e é usado por usuários que querem verificar se seu e-mail ou senha foi exposto em um incidente de segurança em serviços on-line nos quais possui contas. O HIBP coleta e analisa informações de bilhões de contas vazadas, incluindo endereços de e-mail e números de telefone. O site permite que os usuários pesquisem suas próprias informações gratuitamente ou se inscrevam para receber notificações.</t>
  </si>
  <si>
    <t>00793/2025</t>
  </si>
  <si>
    <t>CATSER - 21202</t>
  </si>
  <si>
    <t>Contratação de apresentação musical</t>
  </si>
  <si>
    <t>A apresentação musical ocorrerá na primeira sessão de abertura dos trabalhos de 2025 do CNJ, na transferência simbólica da aquisição do prédio do Conselho a ser realizada no dia 11 de fevereiro de 2025.</t>
  </si>
  <si>
    <t>01641/2025</t>
  </si>
  <si>
    <t>CATSER - 15830</t>
  </si>
  <si>
    <t>Prestação de serviços de manutenção de televisor de led 55 polegadas e manutenção de câmera de vídeo</t>
  </si>
  <si>
    <t>Informo que a Corregedoria Nacional de Justiça gerou um pedido de manutenção do televisor de led 55" (Patrimônio nº 23.972), conforme documentos SEI nº 2100259 e 2100261. A referida unidade destacou a urgência do conserto da tela danificada, pois o equipamento é utilizado pelo Sr. Ministro Corregedor.</t>
  </si>
  <si>
    <t>01897/2025</t>
  </si>
  <si>
    <t>CATSER - 15792</t>
  </si>
  <si>
    <t>Prestação de serviços de avaliação psicológica</t>
  </si>
  <si>
    <t>02073/2025</t>
  </si>
  <si>
    <t>CATMAT - PDM 12698</t>
  </si>
  <si>
    <t>Cadeiras de ferro na cor preta</t>
  </si>
  <si>
    <t>Foi realizado uma pesquisa para adquirir novo bules, porém estão com qualidade inferior aos que já possuímos. Com isso, é necessário a manutenção e confecção  bules para servir o café nas copas e evento.</t>
  </si>
  <si>
    <t>00348/2025 e 00392/2025</t>
  </si>
  <si>
    <t>CATSER - 20460</t>
  </si>
  <si>
    <t>3.3.90.39.22</t>
  </si>
  <si>
    <t>Sistema de controle de acesso individual para eventos por meio de QR Code.</t>
  </si>
  <si>
    <t>00066/2025 e 00392/2025</t>
  </si>
  <si>
    <t>CATSER - 24961</t>
  </si>
  <si>
    <t>Confecção de coroa de flores</t>
  </si>
  <si>
    <t>A aquisição da coroa de flores é para homenagear o estagiário Thiago Marinho Nobrega de Araujo, que estava lotado no Centro de Aperfeiçoamento de Servidores do Poder Judiciário (CEAJUD), uma forma de solidarizar-se com seus familiares e colegas de unidades neste momento de luto.</t>
  </si>
  <si>
    <t>03484/2025</t>
  </si>
  <si>
    <t>CATSER - 17027</t>
  </si>
  <si>
    <t>Pano tecido tipo Jacquard (Poliester) para confecção de toalhas de mesas</t>
  </si>
  <si>
    <t>A compra visa repor algumas peças urgentes a serem utilizadas nas copas e eventos do Conselho.</t>
  </si>
  <si>
    <t>02054/2025</t>
  </si>
  <si>
    <t>CATMAT - PDM 17262</t>
  </si>
  <si>
    <t>Bomboniere pequena </t>
  </si>
  <si>
    <t>CATMAT - PDM 1104</t>
  </si>
  <si>
    <t>Bomboniere médias</t>
  </si>
  <si>
    <t>Boleira quadrada para biscoitos e salgados</t>
  </si>
  <si>
    <t>CATMAT - PDM 1138</t>
  </si>
  <si>
    <t>copos de cristal de 200 ml</t>
  </si>
  <si>
    <t>CATMAT - PDM 1080</t>
  </si>
  <si>
    <t>panos de prato</t>
  </si>
  <si>
    <t>CATMAT - PDM 10341</t>
  </si>
  <si>
    <t>Bules inox com cano curto de 600 ml</t>
  </si>
  <si>
    <t>CATMAT - PDM 1117</t>
  </si>
  <si>
    <t>chaleiras de alumínio N18 e 2,30 litros </t>
  </si>
  <si>
    <t>CATMAT - PDM 4806</t>
  </si>
  <si>
    <t>Porta detergente e esponja de plástico para copa cor preta</t>
  </si>
  <si>
    <t>CATMAT - PDM 17211</t>
  </si>
  <si>
    <t>Serviço de manutenção de poltronas</t>
  </si>
  <si>
    <t>A manutenção se justifica pela necessidade de utilização desse modelo de cadeira por magistrados, secretários, chefes de gabinete e diretores e tendo em vista não possuirmos outra cadeira com as mesmas características em estoque para, se for o caso, realizar a disponibilização.</t>
  </si>
  <si>
    <t>05484/2025</t>
  </si>
  <si>
    <t>CATSER - 5410</t>
  </si>
  <si>
    <t>Fita dupla face 3M</t>
  </si>
  <si>
    <t xml:space="preserve">06074/2025 </t>
  </si>
  <si>
    <t>CATMAT - PDM 18071</t>
  </si>
  <si>
    <t>RESUMO POR UNIDADE</t>
  </si>
  <si>
    <t>Orçamento</t>
  </si>
  <si>
    <t>Limite</t>
  </si>
  <si>
    <t>Diferença</t>
  </si>
  <si>
    <t>AÇÃO ORÇAMENTÁRIA / PLANO ORÇAMENTÁRIO (PO)</t>
  </si>
  <si>
    <t>PROPOSTA LOA 2025</t>
  </si>
  <si>
    <t>DOTAÇÃO ATUALIZADA</t>
  </si>
  <si>
    <t>Documentos de atualização das propostas orçamentárias</t>
  </si>
  <si>
    <t>PRIMÁRIAS DISCRICIONÁRIAS - RP 2</t>
  </si>
  <si>
    <t xml:space="preserve">Controle da atuação administrativa e financeira do Poder Judiciário e do cumprimento dos deveres funcionais dos juízes </t>
  </si>
  <si>
    <t>PO-0001- Apoio Administrativo</t>
  </si>
  <si>
    <t>PO-0002 - Atividades Correcionais</t>
  </si>
  <si>
    <t>PO-0003 - Manutenção e Aprimoramento dos Serviços e do Parque Tecnológico do CNJ</t>
  </si>
  <si>
    <t>PO-0004 - Manutenção e Aprimoramento do Processo Judicial Eletrônico - PJE</t>
  </si>
  <si>
    <t>PO-SEG0 - Segurança da Informação</t>
  </si>
  <si>
    <t>TOTAL</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</si>
  <si>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</si>
  <si>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</si>
  <si>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</si>
  <si>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</si>
  <si>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</si>
  <si>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Ajuda de Custo para Moradia</t>
  </si>
  <si>
    <t>AMMM - Ajuda de Custo para moradia a magistrados e membros do MP</t>
  </si>
  <si>
    <t>AMOA - Auxílio-moradia para outros agentes públicos - ativos</t>
  </si>
  <si>
    <t>CATMAT | CATSER</t>
  </si>
  <si>
    <t>0009</t>
  </si>
  <si>
    <t>CATMAT - PDM 5502</t>
  </si>
  <si>
    <t>CATMAT - PDM 6661</t>
  </si>
  <si>
    <t>CATSER - 21172</t>
  </si>
  <si>
    <t>CATSER - 4316</t>
  </si>
  <si>
    <t>CATSER - 906</t>
  </si>
  <si>
    <t>CATSER - 9709</t>
  </si>
  <si>
    <t>CATSER - 5770</t>
  </si>
  <si>
    <t>06640/2025</t>
  </si>
  <si>
    <t>Contratação de serviço de manutenção de micro-ondas</t>
  </si>
  <si>
    <t>A manutenção dos equipamentos é essencial, haja vista que cerca de 40 colaboradores da Seção de Transporte (SETRA) utilizam regularmente os micro-ondas, especialmente no horário de almoço.</t>
  </si>
  <si>
    <t>ARP 06/2025</t>
  </si>
  <si>
    <t>Contrato n. 19/2025</t>
  </si>
  <si>
    <t>Contrato n. 16/2025</t>
  </si>
  <si>
    <t>Contrato n. 17/2025</t>
  </si>
  <si>
    <t>Contrato n. 22/2025</t>
  </si>
  <si>
    <t>Contrato n. 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</si>
</sst>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5" x14ac:knownFonts="1">
    <font>
      <sz val="11"/>
      <color theme="1"/>
      <name val="Calibri"/>
      <family val="2"/>
      <scheme val="minor"/>
    </font>
    <font>
      <sz val="11"/>
      <color theme="1"/>
      <name val="Calibri"/>
      <family val="2"/>
      <scheme val="minor"/>
    </font>
    <font>
      <b/>
      <sz val="18"/>
      <color theme="0"/>
      <name val="Palatino Linotype"/>
      <family val="1"/>
    </font>
    <font>
      <b/>
      <sz val="16"/>
      <color theme="0"/>
      <name val="Palatino Linotype"/>
      <family val="1"/>
    </font>
    <font>
      <sz val="10"/>
      <color theme="1"/>
      <name val="Arial"/>
      <family val="2"/>
    </font>
    <font>
      <b/>
      <sz val="10"/>
      <color theme="1"/>
      <name val="Arial"/>
      <family val="2"/>
    </font>
    <font>
      <b/>
      <sz val="10"/>
      <color theme="0"/>
      <name val="Arial"/>
      <family val="2"/>
    </font>
    <font>
      <b/>
      <sz val="16"/>
      <name val="Palatino Linotype"/>
      <family val="1"/>
    </font>
    <font>
      <b/>
      <sz val="12"/>
      <name val="Arial"/>
      <family val="2"/>
    </font>
    <font>
      <sz val="11"/>
      <color theme="1"/>
      <name val="Arial"/>
      <family val="2"/>
    </font>
    <font>
      <sz val="12"/>
      <name val="Arial"/>
      <family val="2"/>
    </font>
    <font>
      <i/>
      <sz val="12"/>
      <name val="Arial"/>
      <family val="2"/>
    </font>
    <font>
      <b/>
      <sz val="14"/>
      <name val="Arial"/>
      <family val="2"/>
    </font>
    <font>
      <sz val="14"/>
      <name val="Arial"/>
      <family val="2"/>
    </font>
    <font>
      <b/>
      <i/>
      <sz val="12"/>
      <name val="Arial"/>
      <family val="2"/>
    </font>
  </fonts>
  <fills count="11">
    <fill>
      <patternFill patternType="none"/>
    </fill>
    <fill>
      <patternFill patternType="gray125"/>
    </fill>
    <fill>
      <patternFill patternType="solid">
        <fgColor theme="6"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theme="1"/>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1">
    <xf numFmtId="0" fontId="0" fillId="0" borderId="0" xfId="0"/>
    <xf numFmtId="0" fontId="0" fillId="2" borderId="0" xfId="0" applyFill="1"/>
    <xf numFmtId="0" fontId="3" fillId="4" borderId="1" xfId="0" applyFont="1" applyFill="1" applyBorder="1" applyAlignment="1">
      <alignment horizontal="centerContinuous" vertical="center"/>
    </xf>
    <xf numFmtId="0" fontId="3" fillId="4" borderId="2" xfId="0" applyFont="1" applyFill="1" applyBorder="1" applyAlignment="1">
      <alignment horizontal="centerContinuous" vertical="center"/>
    </xf>
    <xf numFmtId="0" fontId="3" fillId="4" borderId="3" xfId="0" applyFont="1" applyFill="1" applyBorder="1" applyAlignment="1">
      <alignment horizontal="centerContinuous" vertical="center"/>
    </xf>
    <xf numFmtId="0" fontId="0" fillId="2" borderId="0" xfId="0" applyFill="1" applyAlignment="1">
      <alignment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0" fontId="7" fillId="4" borderId="1" xfId="0" applyFont="1" applyFill="1" applyBorder="1" applyAlignment="1">
      <alignment horizontal="centerContinuous" vertical="center"/>
    </xf>
    <xf numFmtId="0" fontId="0" fillId="2" borderId="0" xfId="0" applyFill="1" applyAlignment="1">
      <alignment vertical="top"/>
    </xf>
    <xf numFmtId="0" fontId="0" fillId="0" borderId="0" xfId="0" applyAlignment="1">
      <alignment vertical="top"/>
    </xf>
    <xf numFmtId="0" fontId="9" fillId="2" borderId="0" xfId="0" applyFont="1" applyFill="1"/>
    <xf numFmtId="0" fontId="2" fillId="3" borderId="1" xfId="0" applyFont="1" applyFill="1" applyBorder="1" applyAlignment="1">
      <alignment horizontal="centerContinuous" vertical="center"/>
    </xf>
    <xf numFmtId="0" fontId="2" fillId="3" borderId="4" xfId="0" applyFont="1" applyFill="1" applyBorder="1" applyAlignment="1">
      <alignment horizontal="centerContinuous" vertical="center"/>
    </xf>
    <xf numFmtId="44" fontId="10" fillId="7" borderId="4" xfId="1" applyFont="1" applyFill="1" applyBorder="1" applyAlignment="1">
      <alignment horizontal="right" vertical="center"/>
    </xf>
    <xf numFmtId="44" fontId="10" fillId="7" borderId="7" xfId="1" applyFont="1" applyFill="1" applyBorder="1" applyAlignment="1">
      <alignment horizontal="right" vertical="center"/>
    </xf>
    <xf numFmtId="49" fontId="8" fillId="6" borderId="8" xfId="0" applyNumberFormat="1" applyFont="1" applyFill="1" applyBorder="1" applyAlignment="1">
      <alignment horizontal="centerContinuous" vertical="center" wrapText="1"/>
    </xf>
    <xf numFmtId="49" fontId="8" fillId="6" borderId="9" xfId="0" applyNumberFormat="1" applyFont="1" applyFill="1" applyBorder="1" applyAlignment="1">
      <alignment horizontal="center" vertical="center" wrapText="1"/>
    </xf>
    <xf numFmtId="49" fontId="8" fillId="6" borderId="10"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164" fontId="8" fillId="6" borderId="12" xfId="2" applyNumberFormat="1" applyFont="1" applyFill="1" applyBorder="1" applyAlignment="1">
      <alignment horizontal="center" vertical="center" wrapText="1"/>
    </xf>
    <xf numFmtId="164" fontId="8" fillId="6" borderId="13" xfId="2" applyNumberFormat="1" applyFont="1" applyFill="1" applyBorder="1" applyAlignment="1">
      <alignment horizontal="center" vertical="center" wrapText="1"/>
    </xf>
    <xf numFmtId="164" fontId="8" fillId="6" borderId="14" xfId="2" applyNumberFormat="1" applyFont="1" applyFill="1" applyBorder="1" applyAlignment="1">
      <alignment horizontal="center" vertical="center" wrapText="1"/>
    </xf>
    <xf numFmtId="49" fontId="11" fillId="0" borderId="15" xfId="0" applyNumberFormat="1" applyFont="1" applyBorder="1" applyAlignment="1">
      <alignment horizontal="centerContinuous" vertical="center"/>
    </xf>
    <xf numFmtId="165" fontId="10" fillId="7" borderId="6" xfId="1" applyNumberFormat="1" applyFont="1" applyFill="1" applyBorder="1" applyAlignment="1">
      <alignment horizontal="right" vertical="center"/>
    </xf>
    <xf numFmtId="165" fontId="10" fillId="7" borderId="16" xfId="1" applyNumberFormat="1" applyFont="1" applyFill="1" applyBorder="1" applyAlignment="1">
      <alignment horizontal="right" vertical="center"/>
    </xf>
    <xf numFmtId="49" fontId="8" fillId="6" borderId="17" xfId="0" applyNumberFormat="1" applyFont="1" applyFill="1" applyBorder="1" applyAlignment="1">
      <alignment horizontal="center" vertical="center"/>
    </xf>
    <xf numFmtId="164" fontId="12" fillId="6" borderId="5" xfId="2" applyNumberFormat="1" applyFont="1" applyFill="1" applyBorder="1" applyAlignment="1">
      <alignment vertical="center"/>
    </xf>
    <xf numFmtId="164" fontId="12" fillId="6" borderId="18" xfId="2" applyNumberFormat="1" applyFont="1" applyFill="1" applyBorder="1" applyAlignment="1">
      <alignment vertical="center"/>
    </xf>
    <xf numFmtId="0" fontId="10" fillId="7" borderId="5" xfId="2" applyNumberFormat="1" applyFont="1" applyFill="1" applyBorder="1" applyAlignment="1">
      <alignment horizontal="center" vertical="center"/>
    </xf>
    <xf numFmtId="165" fontId="10" fillId="7" borderId="5" xfId="1" applyNumberFormat="1" applyFont="1" applyFill="1" applyBorder="1" applyAlignment="1">
      <alignment horizontal="right" vertical="center"/>
    </xf>
    <xf numFmtId="165" fontId="10" fillId="7" borderId="18" xfId="1" applyNumberFormat="1" applyFont="1" applyFill="1" applyBorder="1" applyAlignment="1">
      <alignment horizontal="right" vertical="center"/>
    </xf>
    <xf numFmtId="49" fontId="8" fillId="0" borderId="17" xfId="0" applyNumberFormat="1" applyFont="1" applyBorder="1" applyAlignment="1">
      <alignment horizontal="justify" vertical="center"/>
    </xf>
    <xf numFmtId="164" fontId="12" fillId="0" borderId="18" xfId="2" applyNumberFormat="1" applyFont="1" applyFill="1" applyBorder="1" applyAlignment="1">
      <alignment vertical="center"/>
    </xf>
    <xf numFmtId="49" fontId="11" fillId="0" borderId="17" xfId="0" applyNumberFormat="1" applyFont="1" applyBorder="1" applyAlignment="1">
      <alignment horizontal="justify" vertical="center"/>
    </xf>
    <xf numFmtId="164" fontId="13" fillId="7" borderId="5" xfId="2" applyNumberFormat="1" applyFont="1" applyFill="1" applyBorder="1" applyAlignment="1">
      <alignment vertical="center"/>
    </xf>
    <xf numFmtId="164" fontId="13" fillId="7" borderId="18" xfId="2" applyNumberFormat="1" applyFont="1" applyFill="1" applyBorder="1" applyAlignment="1">
      <alignment vertical="center"/>
    </xf>
    <xf numFmtId="164" fontId="8" fillId="6" borderId="9" xfId="2" applyNumberFormat="1" applyFont="1" applyFill="1" applyBorder="1" applyAlignment="1">
      <alignment horizontal="center" vertical="center" wrapText="1"/>
    </xf>
    <xf numFmtId="164" fontId="8" fillId="6" borderId="10" xfId="2" applyNumberFormat="1" applyFont="1" applyFill="1" applyBorder="1" applyAlignment="1">
      <alignment horizontal="center" vertical="center" wrapText="1"/>
    </xf>
    <xf numFmtId="164" fontId="12" fillId="7" borderId="5" xfId="2" applyNumberFormat="1" applyFont="1" applyFill="1" applyBorder="1" applyAlignment="1">
      <alignment vertical="center"/>
    </xf>
    <xf numFmtId="164" fontId="12" fillId="7" borderId="18" xfId="2" applyNumberFormat="1" applyFont="1" applyFill="1" applyBorder="1" applyAlignment="1">
      <alignment vertical="center"/>
    </xf>
    <xf numFmtId="165" fontId="9" fillId="2" borderId="0" xfId="0" applyNumberFormat="1" applyFont="1" applyFill="1"/>
    <xf numFmtId="49" fontId="11" fillId="0" borderId="21" xfId="0" applyNumberFormat="1" applyFont="1" applyBorder="1" applyAlignment="1">
      <alignment horizontal="justify" vertical="center"/>
    </xf>
    <xf numFmtId="164" fontId="13" fillId="7" borderId="19" xfId="2" applyNumberFormat="1" applyFont="1" applyFill="1" applyBorder="1" applyAlignment="1">
      <alignment vertical="center"/>
    </xf>
    <xf numFmtId="164" fontId="13" fillId="7" borderId="20" xfId="2" applyNumberFormat="1" applyFont="1" applyFill="1" applyBorder="1" applyAlignment="1">
      <alignment vertical="center"/>
    </xf>
    <xf numFmtId="49" fontId="8" fillId="6" borderId="8" xfId="0" applyNumberFormat="1" applyFont="1" applyFill="1" applyBorder="1" applyAlignment="1">
      <alignment horizontal="center" vertical="center" wrapText="1"/>
    </xf>
    <xf numFmtId="49" fontId="11" fillId="0" borderId="22" xfId="0" applyNumberFormat="1" applyFont="1" applyBorder="1" applyAlignment="1">
      <alignment horizontal="center" vertical="center"/>
    </xf>
    <xf numFmtId="0" fontId="4" fillId="6" borderId="5" xfId="0" applyFont="1" applyFill="1" applyBorder="1" applyAlignment="1">
      <alignment horizontal="center" vertical="center"/>
    </xf>
    <xf numFmtId="0" fontId="4" fillId="6" borderId="5" xfId="0" quotePrefix="1" applyFont="1" applyFill="1" applyBorder="1" applyAlignment="1">
      <alignment horizontal="center" vertical="center"/>
    </xf>
    <xf numFmtId="1" fontId="4" fillId="6" borderId="5" xfId="0" applyNumberFormat="1" applyFont="1" applyFill="1" applyBorder="1" applyAlignment="1">
      <alignment horizontal="center" vertical="center"/>
    </xf>
    <xf numFmtId="0" fontId="4" fillId="6" borderId="5" xfId="0" applyFont="1" applyFill="1" applyBorder="1" applyAlignment="1">
      <alignment horizontal="left" vertical="center"/>
    </xf>
    <xf numFmtId="0" fontId="4" fillId="5" borderId="5" xfId="0" applyFont="1" applyFill="1" applyBorder="1" applyAlignment="1">
      <alignment horizontal="center" vertical="center"/>
    </xf>
    <xf numFmtId="0" fontId="4" fillId="5" borderId="5" xfId="0" quotePrefix="1" applyFont="1" applyFill="1" applyBorder="1" applyAlignment="1">
      <alignment horizontal="center" vertical="center"/>
    </xf>
    <xf numFmtId="1" fontId="4" fillId="5" borderId="5" xfId="0" applyNumberFormat="1" applyFont="1" applyFill="1" applyBorder="1" applyAlignment="1">
      <alignment horizontal="center" vertical="center"/>
    </xf>
    <xf numFmtId="0" fontId="4" fillId="5" borderId="5" xfId="0" applyFont="1" applyFill="1" applyBorder="1" applyAlignment="1">
      <alignment horizontal="left" vertical="center"/>
    </xf>
    <xf numFmtId="14" fontId="4" fillId="5" borderId="5" xfId="0" quotePrefix="1" applyNumberFormat="1" applyFont="1" applyFill="1" applyBorder="1" applyAlignment="1">
      <alignment horizontal="center" vertical="center"/>
    </xf>
    <xf numFmtId="14" fontId="4" fillId="6" borderId="5" xfId="0" quotePrefix="1" applyNumberFormat="1" applyFont="1" applyFill="1" applyBorder="1" applyAlignment="1">
      <alignment horizontal="center" vertical="center"/>
    </xf>
    <xf numFmtId="49" fontId="11" fillId="0" borderId="23" xfId="0" applyNumberFormat="1" applyFont="1" applyBorder="1" applyAlignment="1">
      <alignment horizontal="centerContinuous" vertical="center"/>
    </xf>
    <xf numFmtId="165" fontId="10" fillId="7" borderId="24" xfId="1" applyNumberFormat="1" applyFont="1" applyFill="1" applyBorder="1" applyAlignment="1">
      <alignment horizontal="right" vertical="center"/>
    </xf>
    <xf numFmtId="165" fontId="10" fillId="7" borderId="25" xfId="1" applyNumberFormat="1" applyFont="1" applyFill="1" applyBorder="1" applyAlignment="1">
      <alignment horizontal="right" vertical="center"/>
    </xf>
    <xf numFmtId="165" fontId="10" fillId="7" borderId="26" xfId="1" applyNumberFormat="1" applyFont="1" applyFill="1" applyBorder="1" applyAlignment="1">
      <alignment horizontal="right" vertical="center"/>
    </xf>
    <xf numFmtId="44" fontId="10" fillId="6" borderId="9" xfId="1" applyFont="1" applyFill="1" applyBorder="1" applyAlignment="1">
      <alignment horizontal="right" vertical="center"/>
    </xf>
    <xf numFmtId="44" fontId="10" fillId="6" borderId="10" xfId="1" applyFont="1" applyFill="1" applyBorder="1" applyAlignment="1">
      <alignment horizontal="right" vertical="center"/>
    </xf>
    <xf numFmtId="164" fontId="12" fillId="0" borderId="5" xfId="2" applyNumberFormat="1" applyFont="1" applyBorder="1" applyAlignment="1">
      <alignment vertical="center"/>
    </xf>
    <xf numFmtId="0" fontId="0" fillId="2" borderId="0" xfId="0" applyFill="1" applyAlignment="1">
      <alignment vertical="center"/>
    </xf>
    <xf numFmtId="0" fontId="0" fillId="2" borderId="0" xfId="0" applyFill="1" applyAlignment="1">
      <alignment horizontal="left" vertical="center"/>
    </xf>
    <xf numFmtId="14" fontId="0" fillId="2" borderId="0" xfId="0" applyNumberFormat="1" applyFill="1" applyAlignment="1">
      <alignment vertical="center"/>
    </xf>
    <xf numFmtId="0" fontId="2" fillId="3" borderId="2" xfId="0" applyFont="1" applyFill="1" applyBorder="1" applyAlignment="1">
      <alignment horizontal="centerContinuous" vertical="center"/>
    </xf>
    <xf numFmtId="0" fontId="2" fillId="3" borderId="3" xfId="0" applyFont="1" applyFill="1" applyBorder="1" applyAlignment="1">
      <alignment horizontal="centerContinuous" vertical="center"/>
    </xf>
    <xf numFmtId="0" fontId="4" fillId="2" borderId="0" xfId="0" applyFont="1" applyFill="1" applyAlignment="1">
      <alignment vertical="center"/>
    </xf>
    <xf numFmtId="0" fontId="4" fillId="2" borderId="0" xfId="0" applyFont="1" applyFill="1" applyAlignment="1">
      <alignment horizontal="left" vertical="center"/>
    </xf>
    <xf numFmtId="14" fontId="4" fillId="2" borderId="0" xfId="0" applyNumberFormat="1" applyFont="1" applyFill="1" applyAlignment="1">
      <alignment vertical="center"/>
    </xf>
    <xf numFmtId="44" fontId="4" fillId="2" borderId="0" xfId="0" applyNumberFormat="1" applyFont="1" applyFill="1" applyAlignment="1">
      <alignment vertical="center"/>
    </xf>
    <xf numFmtId="0" fontId="0" fillId="2" borderId="0" xfId="0" applyFill="1" applyAlignment="1">
      <alignment vertical="center" wrapText="1"/>
    </xf>
    <xf numFmtId="0" fontId="4" fillId="9" borderId="5" xfId="0" applyFont="1" applyFill="1" applyBorder="1" applyAlignment="1">
      <alignment horizontal="center" vertical="center"/>
    </xf>
    <xf numFmtId="0" fontId="4" fillId="9" borderId="5" xfId="0" quotePrefix="1" applyFont="1" applyFill="1" applyBorder="1" applyAlignment="1">
      <alignment horizontal="center" vertical="center"/>
    </xf>
    <xf numFmtId="0" fontId="0" fillId="9" borderId="0" xfId="0" applyFill="1" applyAlignment="1">
      <alignment vertical="center"/>
    </xf>
    <xf numFmtId="0" fontId="0" fillId="8" borderId="0" xfId="0" applyFill="1" applyAlignment="1">
      <alignment vertical="center"/>
    </xf>
    <xf numFmtId="0" fontId="0" fillId="10" borderId="0" xfId="0" applyFill="1" applyAlignment="1">
      <alignment vertical="center"/>
    </xf>
    <xf numFmtId="0" fontId="0" fillId="0" borderId="0" xfId="0" applyAlignment="1">
      <alignment vertical="center"/>
    </xf>
    <xf numFmtId="14" fontId="0" fillId="0" borderId="0" xfId="0" applyNumberFormat="1" applyAlignment="1">
      <alignment vertical="center"/>
    </xf>
    <xf numFmtId="49" fontId="11" fillId="0" borderId="22" xfId="0" quotePrefix="1" applyNumberFormat="1" applyFont="1" applyBorder="1" applyAlignment="1">
      <alignment horizontal="center" vertical="center"/>
    </xf>
    <xf numFmtId="14" fontId="4" fillId="9" borderId="5" xfId="0" quotePrefix="1" applyNumberFormat="1" applyFont="1" applyFill="1" applyBorder="1" applyAlignment="1">
      <alignment horizontal="center" vertical="center"/>
    </xf>
    <xf numFmtId="165" fontId="4" fillId="5" borderId="5" xfId="1" applyNumberFormat="1" applyFont="1" applyFill="1" applyBorder="1" applyAlignment="1">
      <alignment horizontal="center" vertical="center"/>
    </xf>
    <xf numFmtId="165" fontId="4" fillId="6" borderId="5" xfId="1" applyNumberFormat="1" applyFont="1" applyFill="1" applyBorder="1" applyAlignment="1">
      <alignment horizontal="center" vertical="center"/>
    </xf>
    <xf numFmtId="165" fontId="5" fillId="2" borderId="4" xfId="1" applyNumberFormat="1" applyFont="1" applyFill="1" applyBorder="1" applyAlignment="1">
      <alignment horizontal="left" vertical="center"/>
    </xf>
    <xf numFmtId="165" fontId="5" fillId="2" borderId="4" xfId="1" applyNumberFormat="1" applyFont="1" applyFill="1" applyBorder="1" applyAlignment="1">
      <alignment vertical="center"/>
    </xf>
    <xf numFmtId="49" fontId="14" fillId="0" borderId="22" xfId="0" applyNumberFormat="1" applyFont="1" applyBorder="1" applyAlignment="1">
      <alignment horizontal="center" vertical="center"/>
    </xf>
    <xf numFmtId="1" fontId="4" fillId="5" borderId="5" xfId="0" quotePrefix="1" applyNumberFormat="1" applyFont="1" applyFill="1" applyBorder="1" applyAlignment="1">
      <alignment horizontal="center" vertical="center"/>
    </xf>
    <xf numFmtId="1" fontId="4" fillId="6" borderId="5" xfId="0" quotePrefix="1" applyNumberFormat="1" applyFont="1" applyFill="1" applyBorder="1" applyAlignment="1">
      <alignment horizontal="center" vertical="center"/>
    </xf>
    <xf numFmtId="1" fontId="4" fillId="9" borderId="5" xfId="0" quotePrefix="1" applyNumberFormat="1" applyFont="1" applyFill="1" applyBorder="1" applyAlignment="1">
      <alignment horizontal="center" vertical="center"/>
    </xf>
    <xf numFmtId="0" fontId="5" fillId="8" borderId="5" xfId="0" applyFont="1" applyFill="1" applyBorder="1" applyAlignment="1">
      <alignment horizontal="center" vertical="center" wrapText="1"/>
    </xf>
    <xf numFmtId="165" fontId="4" fillId="9" borderId="5" xfId="1" applyNumberFormat="1" applyFont="1" applyFill="1" applyBorder="1" applyAlignment="1">
      <alignment horizontal="center" vertical="center"/>
    </xf>
    <xf numFmtId="0" fontId="4" fillId="8" borderId="5" xfId="0" applyFont="1" applyFill="1" applyBorder="1" applyAlignment="1">
      <alignment horizontal="center" vertical="center"/>
    </xf>
    <xf numFmtId="165" fontId="4" fillId="10" borderId="5" xfId="1" applyNumberFormat="1" applyFont="1" applyFill="1" applyBorder="1" applyAlignment="1">
      <alignment horizontal="center" vertical="center"/>
    </xf>
    <xf numFmtId="0" fontId="4" fillId="8" borderId="5" xfId="0" applyFont="1" applyFill="1" applyBorder="1" applyAlignment="1">
      <alignment horizontal="left" vertical="center"/>
    </xf>
    <xf numFmtId="164" fontId="13" fillId="9" borderId="18" xfId="2" applyNumberFormat="1" applyFont="1" applyFill="1" applyBorder="1" applyAlignment="1">
      <alignment vertical="center"/>
    </xf>
    <xf numFmtId="164" fontId="13" fillId="10" borderId="18" xfId="2" applyNumberFormat="1" applyFont="1" applyFill="1" applyBorder="1" applyAlignment="1">
      <alignment vertical="center"/>
    </xf>
    <xf numFmtId="0" fontId="4" fillId="8" borderId="5" xfId="0" quotePrefix="1" applyFont="1" applyFill="1" applyBorder="1" applyAlignment="1">
      <alignment horizontal="center" vertical="center"/>
    </xf>
    <xf numFmtId="1" fontId="4" fillId="8" borderId="5" xfId="0" quotePrefix="1" applyNumberFormat="1" applyFont="1" applyFill="1" applyBorder="1" applyAlignment="1">
      <alignment horizontal="center" vertical="center"/>
    </xf>
  </cellXfs>
  <cellStyles count="5">
    <cellStyle name="Moeda" xfId="1" builtinId="4"/>
    <cellStyle name="Moeda 2" xfId="3" xr:uid="{8F77F84E-1B5D-4CDF-9C9B-BA143D0B1F16}"/>
    <cellStyle name="Normal" xfId="0" builtinId="0"/>
    <cellStyle name="Vírgula" xfId="2" builtinId="3"/>
    <cellStyle name="Vírgula 2" xfId="4" xr:uid="{857DFC33-FD20-4455-80E9-100FDBD4B981}"/>
  </cellStyles>
  <dxfs count="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Exibição 1" id="{659EB81F-A16A-484E-9677-BEA69CF95A2D}">
    <nsvFilter filterId="{708916EF-FC30-4394-88C7-33A818B1F906}" ref="B8:W260"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16EF-FC30-4394-88C7-33A818B1F906}">
  <dimension ref="A1:Z493"/>
  <sheetViews>
    <sheetView tabSelected="1" zoomScale="80" zoomScaleNormal="80" workbookViewId="0">
      <selection activeCell="A235" sqref="A235:XFD235"/>
    </sheetView>
  </sheetViews>
  <sheetFormatPr defaultColWidth="0" defaultRowHeight="15" zeroHeight="1" outlineLevelCol="1" x14ac:dyDescent="0.25"/>
  <cols>
    <col min="1" max="1" width="3.42578125" style="80" customWidth="1"/>
    <col min="2" max="2" width="8.85546875" style="80" customWidth="1"/>
    <col min="3" max="3" width="18" style="80" customWidth="1" outlineLevel="1"/>
    <col min="4" max="4" width="15.28515625" style="80" customWidth="1" outlineLevel="1"/>
    <col min="5" max="5" width="10.85546875" style="80" customWidth="1" outlineLevel="1"/>
    <col min="6" max="6" width="22.85546875" style="80" customWidth="1" outlineLevel="1"/>
    <col min="7" max="7" width="10.28515625" style="80" customWidth="1" outlineLevel="1"/>
    <col min="8" max="8" width="56.28515625" style="80" customWidth="1" outlineLevel="1"/>
    <col min="9" max="9" width="22" style="80" customWidth="1" outlineLevel="1"/>
    <col min="10" max="10" width="60.85546875" style="80" customWidth="1" outlineLevel="1"/>
    <col min="11" max="11" width="16.140625" style="80" customWidth="1" outlineLevel="1"/>
    <col min="12" max="12" width="14.42578125" style="80" customWidth="1" outlineLevel="1"/>
    <col min="13" max="13" width="11.85546875" style="80" customWidth="1" outlineLevel="1"/>
    <col min="14" max="14" width="14.7109375" style="80" customWidth="1" outlineLevel="1"/>
    <col min="15" max="15" width="24" style="80" customWidth="1" outlineLevel="1"/>
    <col min="16" max="18" width="22.7109375" style="80" customWidth="1" outlineLevel="1"/>
    <col min="19" max="19" width="19.28515625" style="80" customWidth="1" outlineLevel="1"/>
    <col min="20" max="20" width="22.7109375" style="80" customWidth="1" outlineLevel="1"/>
    <col min="21" max="21" width="21" style="80" customWidth="1" outlineLevel="1"/>
    <col min="22" max="22" width="15.140625" style="80" customWidth="1" outlineLevel="1"/>
    <col min="23" max="23" width="20.140625" style="80" bestFit="1" customWidth="1"/>
    <col min="24" max="24" width="4.5703125" customWidth="1"/>
    <col min="25" max="26" width="0" hidden="1" customWidth="1"/>
    <col min="27" max="16384" width="9.140625" hidden="1"/>
  </cols>
  <sheetData>
    <row r="1" spans="1:24" ht="15.75" thickBot="1" x14ac:dyDescent="0.3">
      <c r="A1" s="65"/>
      <c r="B1" s="65"/>
      <c r="C1" s="65"/>
      <c r="D1" s="65"/>
      <c r="E1" s="65"/>
      <c r="F1" s="65"/>
      <c r="G1" s="65"/>
      <c r="H1" s="66"/>
      <c r="I1" s="65"/>
      <c r="J1" s="66"/>
      <c r="K1" s="66"/>
      <c r="L1" s="65"/>
      <c r="M1" s="65"/>
      <c r="N1" s="65"/>
      <c r="O1" s="65"/>
      <c r="P1" s="65"/>
      <c r="Q1" s="65"/>
      <c r="R1" s="67"/>
      <c r="S1" s="65"/>
      <c r="T1" s="65"/>
      <c r="U1" s="65"/>
      <c r="V1" s="65"/>
      <c r="W1" s="65"/>
      <c r="X1" s="1"/>
    </row>
    <row r="2" spans="1:24" ht="26.25" thickBot="1" x14ac:dyDescent="0.3">
      <c r="A2" s="65"/>
      <c r="B2" s="13" t="s">
        <v>0</v>
      </c>
      <c r="C2" s="68"/>
      <c r="D2" s="68"/>
      <c r="E2" s="68"/>
      <c r="F2" s="68"/>
      <c r="G2" s="68"/>
      <c r="H2" s="68"/>
      <c r="I2" s="68"/>
      <c r="J2" s="68"/>
      <c r="K2" s="68"/>
      <c r="L2" s="68"/>
      <c r="M2" s="68"/>
      <c r="N2" s="68"/>
      <c r="O2" s="68"/>
      <c r="P2" s="68"/>
      <c r="Q2" s="68"/>
      <c r="R2" s="68"/>
      <c r="S2" s="68"/>
      <c r="T2" s="69"/>
      <c r="U2" s="68"/>
      <c r="V2" s="68"/>
      <c r="W2" s="69"/>
      <c r="X2" s="1"/>
    </row>
    <row r="3" spans="1:24" ht="23.25" thickBot="1" x14ac:dyDescent="0.3">
      <c r="A3" s="65"/>
      <c r="B3" s="9" t="s">
        <v>1</v>
      </c>
      <c r="C3" s="3"/>
      <c r="D3" s="3"/>
      <c r="E3" s="3"/>
      <c r="F3" s="3"/>
      <c r="G3" s="3"/>
      <c r="H3" s="3"/>
      <c r="I3" s="3"/>
      <c r="J3" s="3"/>
      <c r="K3" s="3"/>
      <c r="L3" s="3"/>
      <c r="M3" s="3"/>
      <c r="N3" s="3"/>
      <c r="O3" s="3"/>
      <c r="P3" s="3"/>
      <c r="Q3" s="3"/>
      <c r="R3" s="3"/>
      <c r="S3" s="4"/>
      <c r="T3" s="4"/>
      <c r="U3" s="4"/>
      <c r="V3" s="4"/>
      <c r="W3" s="4"/>
      <c r="X3" s="1"/>
    </row>
    <row r="4" spans="1:24" ht="23.25" thickBot="1" x14ac:dyDescent="0.3">
      <c r="A4" s="65"/>
      <c r="B4" s="2" t="s">
        <v>2</v>
      </c>
      <c r="C4" s="3"/>
      <c r="D4" s="3"/>
      <c r="E4" s="3"/>
      <c r="F4" s="3"/>
      <c r="G4" s="3"/>
      <c r="H4" s="3"/>
      <c r="I4" s="3"/>
      <c r="J4" s="3"/>
      <c r="K4" s="3"/>
      <c r="L4" s="3"/>
      <c r="M4" s="3"/>
      <c r="N4" s="3"/>
      <c r="O4" s="3"/>
      <c r="P4" s="3"/>
      <c r="Q4" s="3"/>
      <c r="R4" s="3"/>
      <c r="S4" s="4"/>
      <c r="T4" s="4"/>
      <c r="U4" s="4"/>
      <c r="V4" s="4"/>
      <c r="W4" s="4"/>
      <c r="X4" s="1"/>
    </row>
    <row r="5" spans="1:24" x14ac:dyDescent="0.25">
      <c r="A5" s="65"/>
      <c r="B5" s="70"/>
      <c r="C5" s="70"/>
      <c r="D5" s="70"/>
      <c r="E5" s="70"/>
      <c r="F5" s="70"/>
      <c r="G5" s="70"/>
      <c r="H5" s="70"/>
      <c r="I5" s="70"/>
      <c r="J5" s="70"/>
      <c r="K5" s="70"/>
      <c r="L5" s="70"/>
      <c r="M5" s="70"/>
      <c r="N5" s="70"/>
      <c r="O5" s="70"/>
      <c r="P5" s="70"/>
      <c r="Q5" s="70"/>
      <c r="R5" s="70"/>
      <c r="S5" s="70"/>
      <c r="T5" s="70"/>
      <c r="U5" s="70"/>
      <c r="V5" s="70"/>
      <c r="W5" s="70"/>
      <c r="X5" s="1"/>
    </row>
    <row r="6" spans="1:24" ht="15.75" thickBot="1" x14ac:dyDescent="0.3">
      <c r="A6" s="65"/>
      <c r="B6" s="70"/>
      <c r="C6" s="70"/>
      <c r="D6" s="70"/>
      <c r="E6" s="70"/>
      <c r="F6" s="70"/>
      <c r="G6" s="70"/>
      <c r="H6" s="71"/>
      <c r="I6" s="70"/>
      <c r="J6" s="71"/>
      <c r="K6" s="71"/>
      <c r="L6" s="70"/>
      <c r="M6" s="70"/>
      <c r="N6" s="70"/>
      <c r="O6" s="70"/>
      <c r="P6" s="70"/>
      <c r="Q6" s="70"/>
      <c r="R6" s="72"/>
      <c r="S6" s="70"/>
      <c r="T6" s="70"/>
      <c r="U6" s="70"/>
      <c r="V6" s="70"/>
      <c r="W6" s="70"/>
      <c r="X6" s="1"/>
    </row>
    <row r="7" spans="1:24" ht="15.75" thickBot="1" x14ac:dyDescent="0.3">
      <c r="A7" s="65"/>
      <c r="B7" s="70"/>
      <c r="C7" s="70"/>
      <c r="D7" s="70"/>
      <c r="E7" s="70"/>
      <c r="F7" s="70"/>
      <c r="G7" s="73"/>
      <c r="H7" s="71"/>
      <c r="I7" s="86">
        <f>SUBTOTAL(9,I9:I266)</f>
        <v>179558537.74755999</v>
      </c>
      <c r="J7" s="71"/>
      <c r="K7" s="71"/>
      <c r="L7" s="70"/>
      <c r="M7" s="70"/>
      <c r="N7" s="70"/>
      <c r="O7" s="70"/>
      <c r="P7" s="70"/>
      <c r="Q7" s="70"/>
      <c r="R7" s="72"/>
      <c r="S7" s="70"/>
      <c r="T7" s="70"/>
      <c r="U7" s="70"/>
      <c r="V7" s="70"/>
      <c r="W7" s="70"/>
      <c r="X7" s="1"/>
    </row>
    <row r="8" spans="1:24" ht="48.75" customHeight="1" x14ac:dyDescent="0.25">
      <c r="A8" s="74"/>
      <c r="B8" s="6" t="s">
        <v>3</v>
      </c>
      <c r="C8" s="6" t="s">
        <v>4</v>
      </c>
      <c r="D8" s="6" t="s">
        <v>5</v>
      </c>
      <c r="E8" s="6" t="s">
        <v>6</v>
      </c>
      <c r="F8" s="6" t="s">
        <v>7</v>
      </c>
      <c r="G8" s="6" t="s">
        <v>8</v>
      </c>
      <c r="H8" s="6" t="s">
        <v>9</v>
      </c>
      <c r="I8" s="7" t="s">
        <v>10</v>
      </c>
      <c r="J8" s="6" t="s">
        <v>11</v>
      </c>
      <c r="K8" s="6" t="s">
        <v>12</v>
      </c>
      <c r="L8" s="6" t="s">
        <v>13</v>
      </c>
      <c r="M8" s="6" t="s">
        <v>14</v>
      </c>
      <c r="N8" s="6" t="s">
        <v>15</v>
      </c>
      <c r="O8" s="6" t="s">
        <v>16</v>
      </c>
      <c r="P8" s="6" t="s">
        <v>17</v>
      </c>
      <c r="Q8" s="6" t="s">
        <v>18</v>
      </c>
      <c r="R8" s="8" t="s">
        <v>19</v>
      </c>
      <c r="S8" s="6" t="s">
        <v>20</v>
      </c>
      <c r="T8" s="6" t="s">
        <v>21</v>
      </c>
      <c r="U8" s="6" t="s">
        <v>22</v>
      </c>
      <c r="V8" s="6" t="s">
        <v>23</v>
      </c>
      <c r="W8" s="92" t="s">
        <v>24</v>
      </c>
      <c r="X8" s="5"/>
    </row>
    <row r="9" spans="1:24" s="11" customFormat="1" ht="15" customHeight="1" x14ac:dyDescent="0.25">
      <c r="A9" s="65"/>
      <c r="B9" s="52">
        <v>1</v>
      </c>
      <c r="C9" s="52" t="s">
        <v>25</v>
      </c>
      <c r="D9" s="53" t="s">
        <v>26</v>
      </c>
      <c r="E9" s="53">
        <v>3</v>
      </c>
      <c r="F9" s="52" t="s">
        <v>27</v>
      </c>
      <c r="G9" s="54" t="s">
        <v>28</v>
      </c>
      <c r="H9" s="55" t="s">
        <v>29</v>
      </c>
      <c r="I9" s="84">
        <v>6500000</v>
      </c>
      <c r="J9" s="55" t="s">
        <v>30</v>
      </c>
      <c r="K9" s="53" t="s">
        <v>31</v>
      </c>
      <c r="L9" s="53" t="s">
        <v>32</v>
      </c>
      <c r="M9" s="53" t="s">
        <v>33</v>
      </c>
      <c r="N9" s="53" t="s">
        <v>34</v>
      </c>
      <c r="O9" s="53" t="s">
        <v>35</v>
      </c>
      <c r="P9" s="53" t="s">
        <v>36</v>
      </c>
      <c r="Q9" s="53" t="s">
        <v>37</v>
      </c>
      <c r="R9" s="56" t="s">
        <v>38</v>
      </c>
      <c r="S9" s="53" t="s">
        <v>39</v>
      </c>
      <c r="T9" s="53" t="s">
        <v>40</v>
      </c>
      <c r="U9" s="53" t="s">
        <v>33</v>
      </c>
      <c r="V9" s="53" t="s">
        <v>38</v>
      </c>
      <c r="W9" s="89">
        <v>171012025000105</v>
      </c>
      <c r="X9" s="10"/>
    </row>
    <row r="10" spans="1:24" s="11" customFormat="1" ht="15" customHeight="1" x14ac:dyDescent="0.25">
      <c r="A10" s="65"/>
      <c r="B10" s="48">
        <v>2.1</v>
      </c>
      <c r="C10" s="48" t="s">
        <v>25</v>
      </c>
      <c r="D10" s="49" t="s">
        <v>26</v>
      </c>
      <c r="E10" s="49">
        <v>3</v>
      </c>
      <c r="F10" s="48" t="s">
        <v>41</v>
      </c>
      <c r="G10" s="50" t="s">
        <v>28</v>
      </c>
      <c r="H10" s="51" t="s">
        <v>42</v>
      </c>
      <c r="I10" s="85">
        <f>1700000*9/12</f>
        <v>1275000</v>
      </c>
      <c r="J10" s="51" t="s">
        <v>30</v>
      </c>
      <c r="K10" s="49" t="s">
        <v>31</v>
      </c>
      <c r="L10" s="49" t="s">
        <v>32</v>
      </c>
      <c r="M10" s="49" t="s">
        <v>33</v>
      </c>
      <c r="N10" s="49" t="s">
        <v>34</v>
      </c>
      <c r="O10" s="49" t="s">
        <v>35</v>
      </c>
      <c r="P10" s="49" t="s">
        <v>43</v>
      </c>
      <c r="Q10" s="48" t="s">
        <v>44</v>
      </c>
      <c r="R10" s="57" t="s">
        <v>38</v>
      </c>
      <c r="S10" s="49" t="s">
        <v>39</v>
      </c>
      <c r="T10" s="48" t="s">
        <v>45</v>
      </c>
      <c r="U10" s="49" t="s">
        <v>33</v>
      </c>
      <c r="V10" s="49" t="s">
        <v>38</v>
      </c>
      <c r="W10" s="90">
        <v>171012025000104</v>
      </c>
      <c r="X10" s="10"/>
    </row>
    <row r="11" spans="1:24" s="11" customFormat="1" ht="15" customHeight="1" x14ac:dyDescent="0.25">
      <c r="A11" s="65"/>
      <c r="B11" s="52">
        <v>2.2000000000000002</v>
      </c>
      <c r="C11" s="52" t="s">
        <v>25</v>
      </c>
      <c r="D11" s="53" t="s">
        <v>26</v>
      </c>
      <c r="E11" s="53">
        <v>3</v>
      </c>
      <c r="F11" s="52" t="s">
        <v>41</v>
      </c>
      <c r="G11" s="54" t="s">
        <v>28</v>
      </c>
      <c r="H11" s="55" t="s">
        <v>42</v>
      </c>
      <c r="I11" s="84">
        <f>1700000*3/12</f>
        <v>425000</v>
      </c>
      <c r="J11" s="55" t="s">
        <v>30</v>
      </c>
      <c r="K11" s="53" t="s">
        <v>31</v>
      </c>
      <c r="L11" s="53" t="s">
        <v>32</v>
      </c>
      <c r="M11" s="53" t="s">
        <v>33</v>
      </c>
      <c r="N11" s="53" t="s">
        <v>34</v>
      </c>
      <c r="O11" s="53" t="s">
        <v>46</v>
      </c>
      <c r="P11" s="53" t="s">
        <v>47</v>
      </c>
      <c r="Q11" s="53"/>
      <c r="R11" s="56">
        <v>45901</v>
      </c>
      <c r="S11" s="53" t="s">
        <v>39</v>
      </c>
      <c r="T11" s="53" t="s">
        <v>45</v>
      </c>
      <c r="U11" s="53" t="s">
        <v>33</v>
      </c>
      <c r="V11" s="53" t="s">
        <v>38</v>
      </c>
      <c r="W11" s="89">
        <v>171012025000104</v>
      </c>
      <c r="X11" s="10"/>
    </row>
    <row r="12" spans="1:24" s="11" customFormat="1" ht="15" customHeight="1" x14ac:dyDescent="0.25">
      <c r="A12" s="65"/>
      <c r="B12" s="48">
        <v>3</v>
      </c>
      <c r="C12" s="48" t="s">
        <v>25</v>
      </c>
      <c r="D12" s="49" t="s">
        <v>26</v>
      </c>
      <c r="E12" s="49">
        <v>3</v>
      </c>
      <c r="F12" s="48" t="s">
        <v>48</v>
      </c>
      <c r="G12" s="50" t="s">
        <v>28</v>
      </c>
      <c r="H12" s="51" t="s">
        <v>49</v>
      </c>
      <c r="I12" s="85">
        <v>410000</v>
      </c>
      <c r="J12" s="51" t="s">
        <v>50</v>
      </c>
      <c r="K12" s="49" t="s">
        <v>31</v>
      </c>
      <c r="L12" s="49" t="s">
        <v>32</v>
      </c>
      <c r="M12" s="49" t="s">
        <v>33</v>
      </c>
      <c r="N12" s="49" t="s">
        <v>34</v>
      </c>
      <c r="O12" s="49" t="s">
        <v>38</v>
      </c>
      <c r="P12" s="49" t="s">
        <v>38</v>
      </c>
      <c r="Q12" s="48" t="s">
        <v>38</v>
      </c>
      <c r="R12" s="57" t="s">
        <v>38</v>
      </c>
      <c r="S12" s="49" t="s">
        <v>38</v>
      </c>
      <c r="T12" s="48" t="s">
        <v>51</v>
      </c>
      <c r="U12" s="49" t="s">
        <v>33</v>
      </c>
      <c r="V12" s="49" t="s">
        <v>38</v>
      </c>
      <c r="W12" s="90">
        <v>171012025000103</v>
      </c>
      <c r="X12" s="10"/>
    </row>
    <row r="13" spans="1:24" s="11" customFormat="1" ht="15" customHeight="1" x14ac:dyDescent="0.25">
      <c r="A13" s="65"/>
      <c r="B13" s="52">
        <v>4</v>
      </c>
      <c r="C13" s="52" t="s">
        <v>25</v>
      </c>
      <c r="D13" s="53" t="s">
        <v>26</v>
      </c>
      <c r="E13" s="53">
        <v>3</v>
      </c>
      <c r="F13" s="52" t="s">
        <v>52</v>
      </c>
      <c r="G13" s="54" t="s">
        <v>28</v>
      </c>
      <c r="H13" s="55" t="s">
        <v>53</v>
      </c>
      <c r="I13" s="84">
        <v>200000</v>
      </c>
      <c r="J13" s="55" t="s">
        <v>30</v>
      </c>
      <c r="K13" s="53" t="s">
        <v>31</v>
      </c>
      <c r="L13" s="53" t="s">
        <v>32</v>
      </c>
      <c r="M13" s="53" t="s">
        <v>34</v>
      </c>
      <c r="N13" s="53" t="s">
        <v>34</v>
      </c>
      <c r="O13" s="53" t="s">
        <v>46</v>
      </c>
      <c r="P13" s="53" t="s">
        <v>54</v>
      </c>
      <c r="Q13" s="53"/>
      <c r="R13" s="56">
        <v>45689</v>
      </c>
      <c r="S13" s="53" t="s">
        <v>39</v>
      </c>
      <c r="T13" s="53" t="s">
        <v>55</v>
      </c>
      <c r="U13" s="53" t="s">
        <v>33</v>
      </c>
      <c r="V13" s="53" t="s">
        <v>38</v>
      </c>
      <c r="W13" s="89">
        <v>171012025000096</v>
      </c>
      <c r="X13" s="10"/>
    </row>
    <row r="14" spans="1:24" s="11" customFormat="1" ht="15" customHeight="1" x14ac:dyDescent="0.25">
      <c r="A14" s="65"/>
      <c r="B14" s="48">
        <v>5</v>
      </c>
      <c r="C14" s="48" t="s">
        <v>25</v>
      </c>
      <c r="D14" s="49" t="s">
        <v>26</v>
      </c>
      <c r="E14" s="49">
        <v>3</v>
      </c>
      <c r="F14" s="48" t="s">
        <v>56</v>
      </c>
      <c r="G14" s="50" t="s">
        <v>28</v>
      </c>
      <c r="H14" s="51" t="s">
        <v>57</v>
      </c>
      <c r="I14" s="85">
        <v>145160</v>
      </c>
      <c r="J14" s="51" t="s">
        <v>58</v>
      </c>
      <c r="K14" s="49" t="s">
        <v>31</v>
      </c>
      <c r="L14" s="49" t="s">
        <v>32</v>
      </c>
      <c r="M14" s="49" t="s">
        <v>34</v>
      </c>
      <c r="N14" s="49" t="s">
        <v>34</v>
      </c>
      <c r="O14" s="49" t="s">
        <v>46</v>
      </c>
      <c r="P14" s="49" t="s">
        <v>54</v>
      </c>
      <c r="Q14" s="48"/>
      <c r="R14" s="57">
        <v>45689</v>
      </c>
      <c r="S14" s="49" t="s">
        <v>59</v>
      </c>
      <c r="T14" s="48" t="s">
        <v>60</v>
      </c>
      <c r="U14" s="49" t="s">
        <v>33</v>
      </c>
      <c r="V14" s="49" t="s">
        <v>38</v>
      </c>
      <c r="W14" s="90">
        <v>171012025000108</v>
      </c>
      <c r="X14" s="10"/>
    </row>
    <row r="15" spans="1:24" s="11" customFormat="1" ht="15" customHeight="1" x14ac:dyDescent="0.25">
      <c r="A15" s="65"/>
      <c r="B15" s="52">
        <v>6</v>
      </c>
      <c r="C15" s="52" t="s">
        <v>25</v>
      </c>
      <c r="D15" s="53" t="s">
        <v>26</v>
      </c>
      <c r="E15" s="99">
        <v>3</v>
      </c>
      <c r="F15" s="94"/>
      <c r="G15" s="54" t="s">
        <v>28</v>
      </c>
      <c r="H15" s="55" t="s">
        <v>61</v>
      </c>
      <c r="I15" s="84">
        <v>126284.6</v>
      </c>
      <c r="J15" s="55" t="s">
        <v>62</v>
      </c>
      <c r="K15" s="53" t="s">
        <v>31</v>
      </c>
      <c r="L15" s="53" t="s">
        <v>32</v>
      </c>
      <c r="M15" s="53" t="s">
        <v>34</v>
      </c>
      <c r="N15" s="53" t="s">
        <v>33</v>
      </c>
      <c r="O15" s="53" t="s">
        <v>46</v>
      </c>
      <c r="P15" s="53" t="s">
        <v>63</v>
      </c>
      <c r="Q15" s="53"/>
      <c r="R15" s="56">
        <v>45689</v>
      </c>
      <c r="S15" s="53" t="s">
        <v>59</v>
      </c>
      <c r="T15" s="76"/>
      <c r="U15" s="53" t="s">
        <v>33</v>
      </c>
      <c r="V15" s="53" t="s">
        <v>38</v>
      </c>
      <c r="W15" s="89">
        <v>171012025000102</v>
      </c>
      <c r="X15" s="10"/>
    </row>
    <row r="16" spans="1:24" s="11" customFormat="1" ht="15" customHeight="1" x14ac:dyDescent="0.25">
      <c r="A16" s="65"/>
      <c r="B16" s="48">
        <v>7</v>
      </c>
      <c r="C16" s="48" t="s">
        <v>25</v>
      </c>
      <c r="D16" s="49" t="s">
        <v>26</v>
      </c>
      <c r="E16" s="49">
        <v>4</v>
      </c>
      <c r="F16" s="48" t="s">
        <v>64</v>
      </c>
      <c r="G16" s="50" t="s">
        <v>28</v>
      </c>
      <c r="H16" s="51" t="s">
        <v>65</v>
      </c>
      <c r="I16" s="93">
        <f>45733-2550</f>
        <v>43183</v>
      </c>
      <c r="J16" s="51" t="s">
        <v>30</v>
      </c>
      <c r="K16" s="49" t="s">
        <v>31</v>
      </c>
      <c r="L16" s="49" t="s">
        <v>32</v>
      </c>
      <c r="M16" s="49" t="s">
        <v>34</v>
      </c>
      <c r="N16" s="49" t="s">
        <v>33</v>
      </c>
      <c r="O16" s="49" t="s">
        <v>66</v>
      </c>
      <c r="P16" s="49" t="s">
        <v>54</v>
      </c>
      <c r="Q16" s="48"/>
      <c r="R16" s="57">
        <v>45693</v>
      </c>
      <c r="S16" s="49" t="s">
        <v>59</v>
      </c>
      <c r="T16" s="48" t="s">
        <v>67</v>
      </c>
      <c r="U16" s="49" t="s">
        <v>34</v>
      </c>
      <c r="V16" s="76" t="s">
        <v>68</v>
      </c>
      <c r="W16" s="90">
        <v>171012025000101</v>
      </c>
      <c r="X16" s="10"/>
    </row>
    <row r="17" spans="1:24" s="11" customFormat="1" ht="15" customHeight="1" x14ac:dyDescent="0.25">
      <c r="A17" s="65"/>
      <c r="B17" s="52">
        <v>8</v>
      </c>
      <c r="C17" s="52" t="s">
        <v>25</v>
      </c>
      <c r="D17" s="53" t="s">
        <v>26</v>
      </c>
      <c r="E17" s="53">
        <v>3</v>
      </c>
      <c r="F17" s="52" t="s">
        <v>69</v>
      </c>
      <c r="G17" s="54" t="s">
        <v>28</v>
      </c>
      <c r="H17" s="55" t="s">
        <v>70</v>
      </c>
      <c r="I17" s="84">
        <v>38748.269999999997</v>
      </c>
      <c r="J17" s="55" t="s">
        <v>30</v>
      </c>
      <c r="K17" s="53" t="s">
        <v>31</v>
      </c>
      <c r="L17" s="53" t="s">
        <v>32</v>
      </c>
      <c r="M17" s="53" t="s">
        <v>33</v>
      </c>
      <c r="N17" s="53" t="s">
        <v>34</v>
      </c>
      <c r="O17" s="53" t="s">
        <v>71</v>
      </c>
      <c r="P17" s="53" t="s">
        <v>72</v>
      </c>
      <c r="Q17" s="53" t="s">
        <v>73</v>
      </c>
      <c r="R17" s="56">
        <v>45785</v>
      </c>
      <c r="S17" s="53" t="s">
        <v>59</v>
      </c>
      <c r="T17" s="53" t="s">
        <v>74</v>
      </c>
      <c r="U17" s="53" t="s">
        <v>34</v>
      </c>
      <c r="V17" s="53" t="s">
        <v>34</v>
      </c>
      <c r="W17" s="89">
        <v>171012025000099</v>
      </c>
      <c r="X17" s="10"/>
    </row>
    <row r="18" spans="1:24" s="11" customFormat="1" ht="15" customHeight="1" x14ac:dyDescent="0.25">
      <c r="A18" s="65"/>
      <c r="B18" s="48">
        <v>9</v>
      </c>
      <c r="C18" s="48" t="s">
        <v>25</v>
      </c>
      <c r="D18" s="49" t="s">
        <v>26</v>
      </c>
      <c r="E18" s="49">
        <v>3</v>
      </c>
      <c r="F18" s="48" t="s">
        <v>75</v>
      </c>
      <c r="G18" s="50" t="s">
        <v>28</v>
      </c>
      <c r="H18" s="51" t="s">
        <v>76</v>
      </c>
      <c r="I18" s="85">
        <v>20000</v>
      </c>
      <c r="J18" s="51" t="s">
        <v>30</v>
      </c>
      <c r="K18" s="49" t="s">
        <v>31</v>
      </c>
      <c r="L18" s="49" t="s">
        <v>32</v>
      </c>
      <c r="M18" s="49" t="s">
        <v>34</v>
      </c>
      <c r="N18" s="49" t="s">
        <v>33</v>
      </c>
      <c r="O18" s="49" t="s">
        <v>66</v>
      </c>
      <c r="P18" s="49" t="s">
        <v>54</v>
      </c>
      <c r="Q18" s="48"/>
      <c r="R18" s="57">
        <v>45693</v>
      </c>
      <c r="S18" s="49" t="s">
        <v>59</v>
      </c>
      <c r="T18" s="48" t="s">
        <v>77</v>
      </c>
      <c r="U18" s="49" t="s">
        <v>34</v>
      </c>
      <c r="V18" s="76" t="s">
        <v>68</v>
      </c>
      <c r="W18" s="90">
        <v>171012025000097</v>
      </c>
      <c r="X18" s="10"/>
    </row>
    <row r="19" spans="1:24" s="11" customFormat="1" ht="15" customHeight="1" x14ac:dyDescent="0.25">
      <c r="A19" s="65"/>
      <c r="B19" s="52">
        <v>10</v>
      </c>
      <c r="C19" s="52" t="s">
        <v>25</v>
      </c>
      <c r="D19" s="53" t="s">
        <v>26</v>
      </c>
      <c r="E19" s="53">
        <v>4</v>
      </c>
      <c r="F19" s="52" t="s">
        <v>78</v>
      </c>
      <c r="G19" s="54" t="s">
        <v>28</v>
      </c>
      <c r="H19" s="55" t="s">
        <v>79</v>
      </c>
      <c r="I19" s="84">
        <v>15000</v>
      </c>
      <c r="J19" s="55" t="s">
        <v>80</v>
      </c>
      <c r="K19" s="53" t="s">
        <v>31</v>
      </c>
      <c r="L19" s="53" t="s">
        <v>32</v>
      </c>
      <c r="M19" s="53" t="s">
        <v>34</v>
      </c>
      <c r="N19" s="53" t="s">
        <v>33</v>
      </c>
      <c r="O19" s="53" t="s">
        <v>66</v>
      </c>
      <c r="P19" s="53" t="s">
        <v>54</v>
      </c>
      <c r="Q19" s="53"/>
      <c r="R19" s="56">
        <v>45689</v>
      </c>
      <c r="S19" s="53" t="s">
        <v>59</v>
      </c>
      <c r="T19" s="53" t="s">
        <v>81</v>
      </c>
      <c r="U19" s="53" t="s">
        <v>34</v>
      </c>
      <c r="V19" s="76" t="s">
        <v>68</v>
      </c>
      <c r="W19" s="89">
        <v>171012025000098</v>
      </c>
      <c r="X19" s="10"/>
    </row>
    <row r="20" spans="1:24" s="11" customFormat="1" ht="15" customHeight="1" x14ac:dyDescent="0.25">
      <c r="A20" s="65"/>
      <c r="B20" s="48">
        <v>11</v>
      </c>
      <c r="C20" s="48" t="s">
        <v>25</v>
      </c>
      <c r="D20" s="49" t="s">
        <v>26</v>
      </c>
      <c r="E20" s="49">
        <v>3</v>
      </c>
      <c r="F20" s="48" t="s">
        <v>82</v>
      </c>
      <c r="G20" s="50" t="s">
        <v>28</v>
      </c>
      <c r="H20" s="51" t="s">
        <v>83</v>
      </c>
      <c r="I20" s="85">
        <v>15000</v>
      </c>
      <c r="J20" s="51" t="s">
        <v>80</v>
      </c>
      <c r="K20" s="49" t="s">
        <v>31</v>
      </c>
      <c r="L20" s="49" t="s">
        <v>32</v>
      </c>
      <c r="M20" s="49" t="s">
        <v>34</v>
      </c>
      <c r="N20" s="49" t="s">
        <v>34</v>
      </c>
      <c r="O20" s="49" t="s">
        <v>66</v>
      </c>
      <c r="P20" s="49" t="s">
        <v>54</v>
      </c>
      <c r="Q20" s="48"/>
      <c r="R20" s="57">
        <v>45693</v>
      </c>
      <c r="S20" s="49" t="s">
        <v>59</v>
      </c>
      <c r="T20" s="48" t="s">
        <v>84</v>
      </c>
      <c r="U20" s="49" t="s">
        <v>34</v>
      </c>
      <c r="V20" s="76" t="s">
        <v>68</v>
      </c>
      <c r="W20" s="90">
        <v>171012025000100</v>
      </c>
      <c r="X20" s="10"/>
    </row>
    <row r="21" spans="1:24" s="11" customFormat="1" ht="15" customHeight="1" x14ac:dyDescent="0.25">
      <c r="A21" s="65"/>
      <c r="B21" s="52">
        <v>12</v>
      </c>
      <c r="C21" s="52" t="s">
        <v>25</v>
      </c>
      <c r="D21" s="53" t="s">
        <v>26</v>
      </c>
      <c r="E21" s="53">
        <v>4</v>
      </c>
      <c r="F21" s="52" t="s">
        <v>85</v>
      </c>
      <c r="G21" s="54" t="s">
        <v>28</v>
      </c>
      <c r="H21" s="55" t="s">
        <v>86</v>
      </c>
      <c r="I21" s="95">
        <f>11500+2550</f>
        <v>14050</v>
      </c>
      <c r="J21" s="55" t="s">
        <v>30</v>
      </c>
      <c r="K21" s="53" t="s">
        <v>31</v>
      </c>
      <c r="L21" s="53" t="s">
        <v>32</v>
      </c>
      <c r="M21" s="53" t="s">
        <v>34</v>
      </c>
      <c r="N21" s="53" t="s">
        <v>33</v>
      </c>
      <c r="O21" s="53" t="s">
        <v>66</v>
      </c>
      <c r="P21" s="53" t="s">
        <v>87</v>
      </c>
      <c r="Q21" s="53"/>
      <c r="R21" s="56">
        <v>45689</v>
      </c>
      <c r="S21" s="53" t="s">
        <v>59</v>
      </c>
      <c r="T21" s="53" t="s">
        <v>88</v>
      </c>
      <c r="U21" s="53" t="s">
        <v>34</v>
      </c>
      <c r="V21" s="53" t="s">
        <v>34</v>
      </c>
      <c r="W21" s="89">
        <v>171012025000107</v>
      </c>
      <c r="X21" s="10"/>
    </row>
    <row r="22" spans="1:24" s="11" customFormat="1" ht="15" customHeight="1" x14ac:dyDescent="0.25">
      <c r="A22" s="65"/>
      <c r="B22" s="48">
        <v>13</v>
      </c>
      <c r="C22" s="48" t="s">
        <v>25</v>
      </c>
      <c r="D22" s="49" t="s">
        <v>26</v>
      </c>
      <c r="E22" s="49">
        <v>3</v>
      </c>
      <c r="F22" s="48" t="s">
        <v>89</v>
      </c>
      <c r="G22" s="50" t="s">
        <v>28</v>
      </c>
      <c r="H22" s="51" t="s">
        <v>90</v>
      </c>
      <c r="I22" s="85">
        <v>3500</v>
      </c>
      <c r="J22" s="51" t="s">
        <v>91</v>
      </c>
      <c r="K22" s="49" t="s">
        <v>31</v>
      </c>
      <c r="L22" s="49" t="s">
        <v>32</v>
      </c>
      <c r="M22" s="49" t="s">
        <v>34</v>
      </c>
      <c r="N22" s="49" t="s">
        <v>34</v>
      </c>
      <c r="O22" s="49" t="s">
        <v>66</v>
      </c>
      <c r="P22" s="49" t="s">
        <v>54</v>
      </c>
      <c r="Q22" s="48"/>
      <c r="R22" s="57">
        <v>45689</v>
      </c>
      <c r="S22" s="49" t="s">
        <v>59</v>
      </c>
      <c r="T22" s="48" t="s">
        <v>92</v>
      </c>
      <c r="U22" s="49" t="s">
        <v>34</v>
      </c>
      <c r="V22" s="76" t="s">
        <v>68</v>
      </c>
      <c r="W22" s="90">
        <v>171012025000106</v>
      </c>
      <c r="X22" s="10"/>
    </row>
    <row r="23" spans="1:24" s="11" customFormat="1" ht="15" customHeight="1" x14ac:dyDescent="0.25">
      <c r="A23" s="65" t="s">
        <v>93</v>
      </c>
      <c r="B23" s="52">
        <v>14</v>
      </c>
      <c r="C23" s="52" t="s">
        <v>25</v>
      </c>
      <c r="D23" s="53" t="s">
        <v>26</v>
      </c>
      <c r="E23" s="53">
        <v>3</v>
      </c>
      <c r="F23" s="52" t="s">
        <v>94</v>
      </c>
      <c r="G23" s="54" t="s">
        <v>28</v>
      </c>
      <c r="H23" s="55" t="s">
        <v>95</v>
      </c>
      <c r="I23" s="84">
        <v>2500</v>
      </c>
      <c r="J23" s="55" t="s">
        <v>30</v>
      </c>
      <c r="K23" s="53" t="s">
        <v>31</v>
      </c>
      <c r="L23" s="53" t="s">
        <v>32</v>
      </c>
      <c r="M23" s="53" t="s">
        <v>34</v>
      </c>
      <c r="N23" s="53" t="s">
        <v>33</v>
      </c>
      <c r="O23" s="53" t="s">
        <v>66</v>
      </c>
      <c r="P23" s="53" t="s">
        <v>54</v>
      </c>
      <c r="Q23" s="53"/>
      <c r="R23" s="56">
        <v>45689</v>
      </c>
      <c r="S23" s="53" t="s">
        <v>59</v>
      </c>
      <c r="T23" s="76"/>
      <c r="U23" s="53" t="s">
        <v>34</v>
      </c>
      <c r="V23" s="76" t="s">
        <v>68</v>
      </c>
      <c r="W23" s="89">
        <v>171012025000095</v>
      </c>
      <c r="X23" s="10"/>
    </row>
    <row r="24" spans="1:24" s="11" customFormat="1" ht="15" customHeight="1" x14ac:dyDescent="0.25">
      <c r="A24" s="65"/>
      <c r="B24" s="48">
        <v>15</v>
      </c>
      <c r="C24" s="48" t="s">
        <v>25</v>
      </c>
      <c r="D24" s="49" t="s">
        <v>26</v>
      </c>
      <c r="E24" s="49">
        <v>3</v>
      </c>
      <c r="F24" s="48" t="s">
        <v>96</v>
      </c>
      <c r="G24" s="50" t="s">
        <v>28</v>
      </c>
      <c r="H24" s="51" t="s">
        <v>97</v>
      </c>
      <c r="I24" s="85">
        <f>1500000+108029.12</f>
        <v>1608029.12</v>
      </c>
      <c r="J24" s="51" t="s">
        <v>98</v>
      </c>
      <c r="K24" s="49" t="s">
        <v>99</v>
      </c>
      <c r="L24" s="49" t="s">
        <v>100</v>
      </c>
      <c r="M24" s="49" t="s">
        <v>33</v>
      </c>
      <c r="N24" s="49" t="s">
        <v>34</v>
      </c>
      <c r="O24" s="49" t="s">
        <v>71</v>
      </c>
      <c r="P24" s="49" t="s">
        <v>101</v>
      </c>
      <c r="Q24" s="48" t="s">
        <v>102</v>
      </c>
      <c r="R24" s="83"/>
      <c r="S24" s="49" t="s">
        <v>39</v>
      </c>
      <c r="T24" s="48" t="s">
        <v>103</v>
      </c>
      <c r="U24" s="49" t="s">
        <v>33</v>
      </c>
      <c r="V24" s="49" t="s">
        <v>38</v>
      </c>
      <c r="W24" s="90">
        <v>171012025000109</v>
      </c>
      <c r="X24" s="10"/>
    </row>
    <row r="25" spans="1:24" s="11" customFormat="1" ht="15" customHeight="1" x14ac:dyDescent="0.25">
      <c r="A25" s="65"/>
      <c r="B25" s="52">
        <v>16</v>
      </c>
      <c r="C25" s="52" t="s">
        <v>25</v>
      </c>
      <c r="D25" s="53" t="s">
        <v>26</v>
      </c>
      <c r="E25" s="53">
        <v>3</v>
      </c>
      <c r="F25" s="52" t="s">
        <v>104</v>
      </c>
      <c r="G25" s="54" t="s">
        <v>28</v>
      </c>
      <c r="H25" s="55" t="s">
        <v>105</v>
      </c>
      <c r="I25" s="84">
        <v>300000</v>
      </c>
      <c r="J25" s="55" t="s">
        <v>106</v>
      </c>
      <c r="K25" s="53" t="s">
        <v>99</v>
      </c>
      <c r="L25" s="53" t="s">
        <v>100</v>
      </c>
      <c r="M25" s="53" t="s">
        <v>33</v>
      </c>
      <c r="N25" s="53" t="s">
        <v>34</v>
      </c>
      <c r="O25" s="53" t="s">
        <v>71</v>
      </c>
      <c r="P25" s="53" t="s">
        <v>107</v>
      </c>
      <c r="Q25" s="53" t="s">
        <v>108</v>
      </c>
      <c r="R25" s="83"/>
      <c r="S25" s="53" t="s">
        <v>39</v>
      </c>
      <c r="T25" s="53" t="s">
        <v>109</v>
      </c>
      <c r="U25" s="53" t="s">
        <v>33</v>
      </c>
      <c r="V25" s="53" t="s">
        <v>38</v>
      </c>
      <c r="W25" s="89">
        <v>171012025000110</v>
      </c>
      <c r="X25" s="10"/>
    </row>
    <row r="26" spans="1:24" s="11" customFormat="1" ht="15" customHeight="1" x14ac:dyDescent="0.25">
      <c r="A26" s="65"/>
      <c r="B26" s="48">
        <v>17</v>
      </c>
      <c r="C26" s="48" t="s">
        <v>25</v>
      </c>
      <c r="D26" s="49" t="s">
        <v>26</v>
      </c>
      <c r="E26" s="49">
        <v>3</v>
      </c>
      <c r="F26" s="48" t="s">
        <v>110</v>
      </c>
      <c r="G26" s="50" t="s">
        <v>28</v>
      </c>
      <c r="H26" s="51" t="s">
        <v>111</v>
      </c>
      <c r="I26" s="93">
        <f>50000-20589-11668</f>
        <v>17743</v>
      </c>
      <c r="J26" s="51" t="s">
        <v>112</v>
      </c>
      <c r="K26" s="49" t="s">
        <v>99</v>
      </c>
      <c r="L26" s="49" t="s">
        <v>32</v>
      </c>
      <c r="M26" s="49" t="s">
        <v>34</v>
      </c>
      <c r="N26" s="49" t="s">
        <v>33</v>
      </c>
      <c r="O26" s="49" t="s">
        <v>66</v>
      </c>
      <c r="P26" s="49" t="s">
        <v>54</v>
      </c>
      <c r="Q26" s="48"/>
      <c r="R26" s="57">
        <v>45809</v>
      </c>
      <c r="S26" s="49" t="s">
        <v>59</v>
      </c>
      <c r="T26" s="75"/>
      <c r="U26" s="49" t="s">
        <v>34</v>
      </c>
      <c r="V26" s="76" t="s">
        <v>68</v>
      </c>
      <c r="W26" s="90">
        <v>171012025000113</v>
      </c>
      <c r="X26" s="10"/>
    </row>
    <row r="27" spans="1:24" s="11" customFormat="1" ht="15" customHeight="1" x14ac:dyDescent="0.25">
      <c r="A27" s="65"/>
      <c r="B27" s="52">
        <v>18</v>
      </c>
      <c r="C27" s="52" t="s">
        <v>25</v>
      </c>
      <c r="D27" s="53" t="s">
        <v>26</v>
      </c>
      <c r="E27" s="53">
        <v>3</v>
      </c>
      <c r="F27" s="52" t="s">
        <v>110</v>
      </c>
      <c r="G27" s="54" t="s">
        <v>28</v>
      </c>
      <c r="H27" s="55" t="s">
        <v>113</v>
      </c>
      <c r="I27" s="84">
        <v>53589.46</v>
      </c>
      <c r="J27" s="55" t="s">
        <v>114</v>
      </c>
      <c r="K27" s="53" t="s">
        <v>99</v>
      </c>
      <c r="L27" s="53" t="s">
        <v>32</v>
      </c>
      <c r="M27" s="53" t="s">
        <v>34</v>
      </c>
      <c r="N27" s="53" t="s">
        <v>33</v>
      </c>
      <c r="O27" s="53" t="s">
        <v>66</v>
      </c>
      <c r="P27" s="53" t="s">
        <v>115</v>
      </c>
      <c r="Q27" s="53"/>
      <c r="R27" s="56">
        <v>45809</v>
      </c>
      <c r="S27" s="53" t="s">
        <v>116</v>
      </c>
      <c r="T27" s="53" t="s">
        <v>117</v>
      </c>
      <c r="U27" s="53" t="s">
        <v>34</v>
      </c>
      <c r="V27" s="76" t="s">
        <v>68</v>
      </c>
      <c r="W27" s="89">
        <v>171012025000112</v>
      </c>
      <c r="X27" s="10"/>
    </row>
    <row r="28" spans="1:24" s="11" customFormat="1" ht="15" customHeight="1" x14ac:dyDescent="0.25">
      <c r="A28" s="65"/>
      <c r="B28" s="48">
        <v>19.100000000000001</v>
      </c>
      <c r="C28" s="48" t="s">
        <v>25</v>
      </c>
      <c r="D28" s="49" t="s">
        <v>26</v>
      </c>
      <c r="E28" s="49">
        <v>3</v>
      </c>
      <c r="F28" s="48" t="s">
        <v>118</v>
      </c>
      <c r="G28" s="50" t="s">
        <v>28</v>
      </c>
      <c r="H28" s="51" t="s">
        <v>119</v>
      </c>
      <c r="I28" s="85">
        <v>1000</v>
      </c>
      <c r="J28" s="51" t="s">
        <v>120</v>
      </c>
      <c r="K28" s="49" t="s">
        <v>99</v>
      </c>
      <c r="L28" s="49" t="s">
        <v>100</v>
      </c>
      <c r="M28" s="49" t="s">
        <v>34</v>
      </c>
      <c r="N28" s="49" t="s">
        <v>33</v>
      </c>
      <c r="O28" s="49" t="s">
        <v>35</v>
      </c>
      <c r="P28" s="49" t="s">
        <v>121</v>
      </c>
      <c r="Q28" s="48"/>
      <c r="R28" s="57">
        <v>45809</v>
      </c>
      <c r="S28" s="49" t="s">
        <v>59</v>
      </c>
      <c r="T28" s="48" t="s">
        <v>122</v>
      </c>
      <c r="U28" s="49" t="s">
        <v>34</v>
      </c>
      <c r="V28" s="49" t="s">
        <v>34</v>
      </c>
      <c r="W28" s="90">
        <v>171012025000111</v>
      </c>
      <c r="X28" s="10"/>
    </row>
    <row r="29" spans="1:24" s="11" customFormat="1" ht="15" customHeight="1" x14ac:dyDescent="0.25">
      <c r="A29" s="65"/>
      <c r="B29" s="52">
        <v>19.2</v>
      </c>
      <c r="C29" s="52" t="s">
        <v>25</v>
      </c>
      <c r="D29" s="53" t="s">
        <v>26</v>
      </c>
      <c r="E29" s="53">
        <v>3</v>
      </c>
      <c r="F29" s="52" t="s">
        <v>118</v>
      </c>
      <c r="G29" s="54" t="s">
        <v>28</v>
      </c>
      <c r="H29" s="55" t="s">
        <v>119</v>
      </c>
      <c r="I29" s="95">
        <f>31401+8630+7334.8+5350.2+11668</f>
        <v>64384</v>
      </c>
      <c r="J29" s="55" t="s">
        <v>120</v>
      </c>
      <c r="K29" s="53" t="s">
        <v>99</v>
      </c>
      <c r="L29" s="53" t="s">
        <v>100</v>
      </c>
      <c r="M29" s="53" t="s">
        <v>34</v>
      </c>
      <c r="N29" s="53" t="s">
        <v>33</v>
      </c>
      <c r="O29" s="53" t="s">
        <v>66</v>
      </c>
      <c r="P29" s="53" t="s">
        <v>123</v>
      </c>
      <c r="Q29" s="53"/>
      <c r="R29" s="56">
        <v>45809</v>
      </c>
      <c r="S29" s="53" t="s">
        <v>59</v>
      </c>
      <c r="T29" s="76"/>
      <c r="U29" s="53" t="s">
        <v>34</v>
      </c>
      <c r="V29" s="53" t="s">
        <v>33</v>
      </c>
      <c r="W29" s="89">
        <v>171012025000111</v>
      </c>
      <c r="X29" s="10"/>
    </row>
    <row r="30" spans="1:24" s="11" customFormat="1" ht="15" customHeight="1" x14ac:dyDescent="0.25">
      <c r="A30" s="65"/>
      <c r="B30" s="48">
        <v>20</v>
      </c>
      <c r="C30" s="48" t="s">
        <v>25</v>
      </c>
      <c r="D30" s="49" t="s">
        <v>26</v>
      </c>
      <c r="E30" s="49">
        <v>3</v>
      </c>
      <c r="F30" s="48" t="s">
        <v>124</v>
      </c>
      <c r="G30" s="50" t="s">
        <v>28</v>
      </c>
      <c r="H30" s="51" t="s">
        <v>125</v>
      </c>
      <c r="I30" s="85">
        <v>90000</v>
      </c>
      <c r="J30" s="51" t="s">
        <v>126</v>
      </c>
      <c r="K30" s="49" t="s">
        <v>127</v>
      </c>
      <c r="L30" s="49" t="s">
        <v>128</v>
      </c>
      <c r="M30" s="49" t="s">
        <v>33</v>
      </c>
      <c r="N30" s="49" t="s">
        <v>34</v>
      </c>
      <c r="O30" s="49" t="s">
        <v>71</v>
      </c>
      <c r="P30" s="49" t="s">
        <v>129</v>
      </c>
      <c r="Q30" s="48" t="s">
        <v>130</v>
      </c>
      <c r="R30" s="57">
        <v>45957</v>
      </c>
      <c r="S30" s="49" t="s">
        <v>59</v>
      </c>
      <c r="T30" s="48" t="s">
        <v>131</v>
      </c>
      <c r="U30" s="49" t="s">
        <v>33</v>
      </c>
      <c r="V30" s="49" t="s">
        <v>38</v>
      </c>
      <c r="W30" s="90">
        <v>171012025000090</v>
      </c>
      <c r="X30" s="10"/>
    </row>
    <row r="31" spans="1:24" s="11" customFormat="1" ht="15" customHeight="1" x14ac:dyDescent="0.25">
      <c r="A31" s="65"/>
      <c r="B31" s="52">
        <v>21</v>
      </c>
      <c r="C31" s="52" t="s">
        <v>25</v>
      </c>
      <c r="D31" s="53" t="s">
        <v>26</v>
      </c>
      <c r="E31" s="53">
        <v>3</v>
      </c>
      <c r="F31" s="52" t="s">
        <v>132</v>
      </c>
      <c r="G31" s="54" t="s">
        <v>28</v>
      </c>
      <c r="H31" s="55" t="s">
        <v>133</v>
      </c>
      <c r="I31" s="84">
        <v>6700000</v>
      </c>
      <c r="J31" s="55" t="s">
        <v>134</v>
      </c>
      <c r="K31" s="53" t="s">
        <v>135</v>
      </c>
      <c r="L31" s="53" t="s">
        <v>100</v>
      </c>
      <c r="M31" s="53" t="s">
        <v>33</v>
      </c>
      <c r="N31" s="53" t="s">
        <v>34</v>
      </c>
      <c r="O31" s="53" t="s">
        <v>38</v>
      </c>
      <c r="P31" s="53" t="s">
        <v>38</v>
      </c>
      <c r="Q31" s="53" t="s">
        <v>38</v>
      </c>
      <c r="R31" s="56" t="s">
        <v>38</v>
      </c>
      <c r="S31" s="53" t="s">
        <v>38</v>
      </c>
      <c r="T31" s="53" t="s">
        <v>38</v>
      </c>
      <c r="U31" s="53" t="s">
        <v>33</v>
      </c>
      <c r="V31" s="53" t="s">
        <v>38</v>
      </c>
      <c r="W31" s="89">
        <v>171012025000116</v>
      </c>
      <c r="X31" s="10"/>
    </row>
    <row r="32" spans="1:24" s="11" customFormat="1" ht="15" customHeight="1" x14ac:dyDescent="0.25">
      <c r="A32" s="65"/>
      <c r="B32" s="48">
        <v>22</v>
      </c>
      <c r="C32" s="48" t="s">
        <v>25</v>
      </c>
      <c r="D32" s="49" t="s">
        <v>26</v>
      </c>
      <c r="E32" s="49">
        <v>3</v>
      </c>
      <c r="F32" s="48" t="s">
        <v>136</v>
      </c>
      <c r="G32" s="50" t="s">
        <v>28</v>
      </c>
      <c r="H32" s="51" t="s">
        <v>137</v>
      </c>
      <c r="I32" s="85">
        <v>5024440</v>
      </c>
      <c r="J32" s="51" t="s">
        <v>138</v>
      </c>
      <c r="K32" s="49" t="s">
        <v>135</v>
      </c>
      <c r="L32" s="49" t="s">
        <v>139</v>
      </c>
      <c r="M32" s="49" t="s">
        <v>33</v>
      </c>
      <c r="N32" s="49" t="s">
        <v>34</v>
      </c>
      <c r="O32" s="49" t="s">
        <v>71</v>
      </c>
      <c r="P32" s="49" t="s">
        <v>140</v>
      </c>
      <c r="Q32" s="48" t="s">
        <v>141</v>
      </c>
      <c r="R32" s="57">
        <v>45779</v>
      </c>
      <c r="S32" s="49" t="s">
        <v>116</v>
      </c>
      <c r="T32" s="48" t="s">
        <v>142</v>
      </c>
      <c r="U32" s="49" t="s">
        <v>33</v>
      </c>
      <c r="V32" s="49" t="s">
        <v>38</v>
      </c>
      <c r="W32" s="90">
        <v>171012025000114</v>
      </c>
      <c r="X32" s="10"/>
    </row>
    <row r="33" spans="1:24" s="11" customFormat="1" ht="15" customHeight="1" x14ac:dyDescent="0.25">
      <c r="A33" s="65"/>
      <c r="B33" s="52">
        <v>23</v>
      </c>
      <c r="C33" s="52" t="s">
        <v>25</v>
      </c>
      <c r="D33" s="53" t="s">
        <v>26</v>
      </c>
      <c r="E33" s="53">
        <v>3</v>
      </c>
      <c r="F33" s="52" t="s">
        <v>143</v>
      </c>
      <c r="G33" s="54" t="s">
        <v>28</v>
      </c>
      <c r="H33" s="55" t="s">
        <v>144</v>
      </c>
      <c r="I33" s="84">
        <v>27878.400000000001</v>
      </c>
      <c r="J33" s="55" t="s">
        <v>145</v>
      </c>
      <c r="K33" s="53" t="s">
        <v>146</v>
      </c>
      <c r="L33" s="53" t="s">
        <v>32</v>
      </c>
      <c r="M33" s="53" t="s">
        <v>33</v>
      </c>
      <c r="N33" s="53" t="s">
        <v>34</v>
      </c>
      <c r="O33" s="53" t="s">
        <v>35</v>
      </c>
      <c r="P33" s="53" t="s">
        <v>147</v>
      </c>
      <c r="Q33" s="53" t="s">
        <v>148</v>
      </c>
      <c r="R33" s="56">
        <v>46822</v>
      </c>
      <c r="S33" s="53" t="s">
        <v>59</v>
      </c>
      <c r="T33" s="53" t="s">
        <v>149</v>
      </c>
      <c r="U33" s="53" t="s">
        <v>33</v>
      </c>
      <c r="V33" s="53" t="s">
        <v>38</v>
      </c>
      <c r="W33" s="89">
        <v>171012025000091</v>
      </c>
      <c r="X33" s="10"/>
    </row>
    <row r="34" spans="1:24" s="11" customFormat="1" ht="15" customHeight="1" x14ac:dyDescent="0.25">
      <c r="A34" s="65"/>
      <c r="B34" s="48">
        <v>24</v>
      </c>
      <c r="C34" s="48" t="s">
        <v>25</v>
      </c>
      <c r="D34" s="49" t="s">
        <v>26</v>
      </c>
      <c r="E34" s="49">
        <v>3</v>
      </c>
      <c r="F34" s="48"/>
      <c r="G34" s="50" t="s">
        <v>28</v>
      </c>
      <c r="H34" s="51" t="s">
        <v>150</v>
      </c>
      <c r="I34" s="95">
        <f>300000-138240-52639.95+36433+1245259.27593794-108029.12-22685.94-6810-4465-38350-6837-2442-500000-31.61-12039-9924-2275-249067.21-2255+17164-4045+313630.5+100000</f>
        <v>852350.94593794027</v>
      </c>
      <c r="J34" s="51"/>
      <c r="K34" s="49" t="s">
        <v>151</v>
      </c>
      <c r="L34" s="49" t="s">
        <v>32</v>
      </c>
      <c r="M34" s="49" t="s">
        <v>33</v>
      </c>
      <c r="N34" s="49" t="s">
        <v>33</v>
      </c>
      <c r="O34" s="49" t="s">
        <v>38</v>
      </c>
      <c r="P34" s="49" t="s">
        <v>38</v>
      </c>
      <c r="Q34" s="48" t="s">
        <v>38</v>
      </c>
      <c r="R34" s="57" t="s">
        <v>38</v>
      </c>
      <c r="S34" s="49" t="s">
        <v>38</v>
      </c>
      <c r="T34" s="48" t="s">
        <v>38</v>
      </c>
      <c r="U34" s="49" t="s">
        <v>33</v>
      </c>
      <c r="V34" s="49" t="s">
        <v>38</v>
      </c>
      <c r="W34" s="90">
        <v>171012025000092</v>
      </c>
      <c r="X34" s="10"/>
    </row>
    <row r="35" spans="1:24" s="11" customFormat="1" ht="15" customHeight="1" x14ac:dyDescent="0.25">
      <c r="A35" s="65"/>
      <c r="B35" s="52">
        <v>25</v>
      </c>
      <c r="C35" s="52" t="s">
        <v>25</v>
      </c>
      <c r="D35" s="53" t="s">
        <v>26</v>
      </c>
      <c r="E35" s="53">
        <v>3</v>
      </c>
      <c r="F35" s="52" t="s">
        <v>152</v>
      </c>
      <c r="G35" s="54" t="s">
        <v>28</v>
      </c>
      <c r="H35" s="55" t="s">
        <v>153</v>
      </c>
      <c r="I35" s="84">
        <v>140000</v>
      </c>
      <c r="J35" s="55" t="s">
        <v>154</v>
      </c>
      <c r="K35" s="53" t="s">
        <v>151</v>
      </c>
      <c r="L35" s="53" t="s">
        <v>32</v>
      </c>
      <c r="M35" s="53" t="s">
        <v>33</v>
      </c>
      <c r="N35" s="53" t="s">
        <v>34</v>
      </c>
      <c r="O35" s="53" t="s">
        <v>71</v>
      </c>
      <c r="P35" s="53" t="s">
        <v>155</v>
      </c>
      <c r="Q35" s="53" t="s">
        <v>156</v>
      </c>
      <c r="R35" s="56">
        <v>45658</v>
      </c>
      <c r="S35" s="53" t="s">
        <v>39</v>
      </c>
      <c r="T35" s="53" t="s">
        <v>38</v>
      </c>
      <c r="U35" s="53" t="s">
        <v>33</v>
      </c>
      <c r="V35" s="53" t="s">
        <v>38</v>
      </c>
      <c r="W35" s="89">
        <v>171012025000093</v>
      </c>
      <c r="X35" s="10"/>
    </row>
    <row r="36" spans="1:24" s="11" customFormat="1" ht="15" customHeight="1" x14ac:dyDescent="0.25">
      <c r="A36" s="65"/>
      <c r="B36" s="48"/>
      <c r="C36" s="48"/>
      <c r="D36" s="49"/>
      <c r="E36" s="49"/>
      <c r="F36" s="48"/>
      <c r="G36" s="50"/>
      <c r="H36" s="51" t="s">
        <v>157</v>
      </c>
      <c r="I36" s="85"/>
      <c r="J36" s="51"/>
      <c r="K36" s="49"/>
      <c r="L36" s="49"/>
      <c r="M36" s="49"/>
      <c r="N36" s="49"/>
      <c r="O36" s="49"/>
      <c r="P36" s="49"/>
      <c r="Q36" s="48"/>
      <c r="R36" s="57"/>
      <c r="S36" s="49"/>
      <c r="T36" s="48"/>
      <c r="U36" s="49"/>
      <c r="V36" s="49"/>
      <c r="W36" s="90" t="s">
        <v>68</v>
      </c>
      <c r="X36" s="10"/>
    </row>
    <row r="37" spans="1:24" s="11" customFormat="1" ht="15" customHeight="1" x14ac:dyDescent="0.25">
      <c r="A37" s="65"/>
      <c r="B37" s="52">
        <v>27</v>
      </c>
      <c r="C37" s="52" t="s">
        <v>25</v>
      </c>
      <c r="D37" s="53" t="s">
        <v>26</v>
      </c>
      <c r="E37" s="53">
        <v>3</v>
      </c>
      <c r="F37" s="52" t="s">
        <v>96</v>
      </c>
      <c r="G37" s="54" t="s">
        <v>28</v>
      </c>
      <c r="H37" s="55" t="s">
        <v>158</v>
      </c>
      <c r="I37" s="84">
        <v>735917.08</v>
      </c>
      <c r="J37" s="55" t="s">
        <v>159</v>
      </c>
      <c r="K37" s="53" t="s">
        <v>160</v>
      </c>
      <c r="L37" s="53" t="s">
        <v>32</v>
      </c>
      <c r="M37" s="53" t="s">
        <v>33</v>
      </c>
      <c r="N37" s="53" t="s">
        <v>34</v>
      </c>
      <c r="O37" s="53" t="s">
        <v>71</v>
      </c>
      <c r="P37" s="53" t="s">
        <v>161</v>
      </c>
      <c r="Q37" s="53" t="s">
        <v>162</v>
      </c>
      <c r="R37" s="56">
        <v>45803</v>
      </c>
      <c r="S37" s="53" t="s">
        <v>59</v>
      </c>
      <c r="T37" s="53" t="s">
        <v>163</v>
      </c>
      <c r="U37" s="53" t="s">
        <v>33</v>
      </c>
      <c r="V37" s="53" t="s">
        <v>38</v>
      </c>
      <c r="W37" s="89">
        <v>171012025000028</v>
      </c>
      <c r="X37" s="10"/>
    </row>
    <row r="38" spans="1:24" s="11" customFormat="1" ht="15" customHeight="1" x14ac:dyDescent="0.25">
      <c r="A38" s="65"/>
      <c r="B38" s="48">
        <v>28</v>
      </c>
      <c r="C38" s="48" t="s">
        <v>25</v>
      </c>
      <c r="D38" s="49" t="s">
        <v>26</v>
      </c>
      <c r="E38" s="49">
        <v>4</v>
      </c>
      <c r="F38" s="48" t="s">
        <v>164</v>
      </c>
      <c r="G38" s="50" t="s">
        <v>28</v>
      </c>
      <c r="H38" s="51" t="s">
        <v>165</v>
      </c>
      <c r="I38" s="85">
        <f>500000+467000-10059.93</f>
        <v>956940.07</v>
      </c>
      <c r="J38" s="51" t="s">
        <v>166</v>
      </c>
      <c r="K38" s="49" t="s">
        <v>160</v>
      </c>
      <c r="L38" s="49" t="s">
        <v>32</v>
      </c>
      <c r="M38" s="49" t="s">
        <v>33</v>
      </c>
      <c r="N38" s="49" t="s">
        <v>33</v>
      </c>
      <c r="O38" s="49" t="s">
        <v>35</v>
      </c>
      <c r="P38" s="49" t="s">
        <v>167</v>
      </c>
      <c r="Q38" s="48" t="s">
        <v>168</v>
      </c>
      <c r="R38" s="57">
        <v>45716</v>
      </c>
      <c r="S38" s="49" t="s">
        <v>39</v>
      </c>
      <c r="T38" s="48" t="s">
        <v>169</v>
      </c>
      <c r="U38" s="49" t="s">
        <v>33</v>
      </c>
      <c r="V38" s="49" t="s">
        <v>38</v>
      </c>
      <c r="W38" s="90">
        <v>171012025000032</v>
      </c>
      <c r="X38" s="10"/>
    </row>
    <row r="39" spans="1:24" s="11" customFormat="1" ht="15" customHeight="1" x14ac:dyDescent="0.25">
      <c r="A39" s="65"/>
      <c r="B39" s="52"/>
      <c r="C39" s="52"/>
      <c r="D39" s="53"/>
      <c r="E39" s="53"/>
      <c r="F39" s="52"/>
      <c r="G39" s="54"/>
      <c r="H39" s="55" t="s">
        <v>157</v>
      </c>
      <c r="I39" s="84"/>
      <c r="J39" s="55"/>
      <c r="K39" s="53"/>
      <c r="L39" s="53"/>
      <c r="M39" s="53"/>
      <c r="N39" s="53"/>
      <c r="O39" s="53"/>
      <c r="P39" s="53"/>
      <c r="Q39" s="53"/>
      <c r="R39" s="56"/>
      <c r="S39" s="53"/>
      <c r="T39" s="53"/>
      <c r="U39" s="53"/>
      <c r="V39" s="53"/>
      <c r="W39" s="89" t="s">
        <v>68</v>
      </c>
      <c r="X39" s="10"/>
    </row>
    <row r="40" spans="1:24" s="11" customFormat="1" ht="15" customHeight="1" x14ac:dyDescent="0.25">
      <c r="A40" s="65"/>
      <c r="B40" s="48">
        <v>30</v>
      </c>
      <c r="C40" s="48" t="s">
        <v>25</v>
      </c>
      <c r="D40" s="49" t="s">
        <v>26</v>
      </c>
      <c r="E40" s="49">
        <v>3</v>
      </c>
      <c r="F40" s="48" t="s">
        <v>170</v>
      </c>
      <c r="G40" s="50" t="s">
        <v>28</v>
      </c>
      <c r="H40" s="51" t="s">
        <v>171</v>
      </c>
      <c r="I40" s="85">
        <v>96000</v>
      </c>
      <c r="J40" s="51" t="s">
        <v>172</v>
      </c>
      <c r="K40" s="49" t="s">
        <v>160</v>
      </c>
      <c r="L40" s="49" t="s">
        <v>32</v>
      </c>
      <c r="M40" s="49" t="s">
        <v>33</v>
      </c>
      <c r="N40" s="49" t="s">
        <v>34</v>
      </c>
      <c r="O40" s="49" t="s">
        <v>35</v>
      </c>
      <c r="P40" s="49" t="s">
        <v>173</v>
      </c>
      <c r="Q40" s="48" t="s">
        <v>174</v>
      </c>
      <c r="R40" s="57" t="s">
        <v>38</v>
      </c>
      <c r="S40" s="49" t="s">
        <v>59</v>
      </c>
      <c r="T40" s="48" t="s">
        <v>175</v>
      </c>
      <c r="U40" s="49" t="s">
        <v>33</v>
      </c>
      <c r="V40" s="49" t="s">
        <v>38</v>
      </c>
      <c r="W40" s="90">
        <v>171012025000029</v>
      </c>
      <c r="X40" s="10"/>
    </row>
    <row r="41" spans="1:24" s="11" customFormat="1" ht="15" customHeight="1" x14ac:dyDescent="0.25">
      <c r="A41" s="65"/>
      <c r="B41" s="52">
        <v>31</v>
      </c>
      <c r="C41" s="52" t="s">
        <v>25</v>
      </c>
      <c r="D41" s="53" t="s">
        <v>26</v>
      </c>
      <c r="E41" s="53">
        <v>4</v>
      </c>
      <c r="F41" s="52" t="s">
        <v>176</v>
      </c>
      <c r="G41" s="54" t="s">
        <v>28</v>
      </c>
      <c r="H41" s="55" t="s">
        <v>177</v>
      </c>
      <c r="I41" s="84">
        <v>70000</v>
      </c>
      <c r="J41" s="55" t="s">
        <v>178</v>
      </c>
      <c r="K41" s="53" t="s">
        <v>160</v>
      </c>
      <c r="L41" s="53" t="s">
        <v>32</v>
      </c>
      <c r="M41" s="53" t="s">
        <v>34</v>
      </c>
      <c r="N41" s="53" t="s">
        <v>33</v>
      </c>
      <c r="O41" s="53" t="s">
        <v>35</v>
      </c>
      <c r="P41" s="53" t="s">
        <v>179</v>
      </c>
      <c r="Q41" s="53" t="s">
        <v>180</v>
      </c>
      <c r="R41" s="56">
        <v>45869</v>
      </c>
      <c r="S41" s="53" t="s">
        <v>59</v>
      </c>
      <c r="T41" s="53" t="s">
        <v>181</v>
      </c>
      <c r="U41" s="53" t="s">
        <v>33</v>
      </c>
      <c r="V41" s="53" t="s">
        <v>38</v>
      </c>
      <c r="W41" s="89">
        <v>171012025000026</v>
      </c>
      <c r="X41" s="10"/>
    </row>
    <row r="42" spans="1:24" s="11" customFormat="1" ht="15" customHeight="1" x14ac:dyDescent="0.25">
      <c r="A42" s="65"/>
      <c r="B42" s="48">
        <v>32</v>
      </c>
      <c r="C42" s="48" t="s">
        <v>25</v>
      </c>
      <c r="D42" s="49" t="s">
        <v>26</v>
      </c>
      <c r="E42" s="49">
        <v>3</v>
      </c>
      <c r="F42" s="48" t="s">
        <v>182</v>
      </c>
      <c r="G42" s="50" t="s">
        <v>28</v>
      </c>
      <c r="H42" s="51" t="s">
        <v>183</v>
      </c>
      <c r="I42" s="85">
        <v>40000</v>
      </c>
      <c r="J42" s="51" t="s">
        <v>184</v>
      </c>
      <c r="K42" s="49" t="s">
        <v>160</v>
      </c>
      <c r="L42" s="49" t="s">
        <v>32</v>
      </c>
      <c r="M42" s="49" t="s">
        <v>33</v>
      </c>
      <c r="N42" s="49" t="s">
        <v>33</v>
      </c>
      <c r="O42" s="49" t="s">
        <v>46</v>
      </c>
      <c r="P42" s="49" t="s">
        <v>54</v>
      </c>
      <c r="Q42" s="48"/>
      <c r="R42" s="57">
        <v>45869</v>
      </c>
      <c r="S42" s="49" t="s">
        <v>116</v>
      </c>
      <c r="T42" s="48" t="s">
        <v>185</v>
      </c>
      <c r="U42" s="49" t="s">
        <v>33</v>
      </c>
      <c r="V42" s="49" t="s">
        <v>38</v>
      </c>
      <c r="W42" s="90">
        <v>171012025000034</v>
      </c>
      <c r="X42" s="10"/>
    </row>
    <row r="43" spans="1:24" s="11" customFormat="1" ht="15" customHeight="1" x14ac:dyDescent="0.25">
      <c r="A43" s="65"/>
      <c r="B43" s="52">
        <v>33</v>
      </c>
      <c r="C43" s="52" t="s">
        <v>25</v>
      </c>
      <c r="D43" s="53" t="s">
        <v>26</v>
      </c>
      <c r="E43" s="53">
        <v>4</v>
      </c>
      <c r="F43" s="52" t="s">
        <v>186</v>
      </c>
      <c r="G43" s="54" t="s">
        <v>28</v>
      </c>
      <c r="H43" s="55" t="s">
        <v>187</v>
      </c>
      <c r="I43" s="84">
        <f>30000+45000</f>
        <v>75000</v>
      </c>
      <c r="J43" s="55" t="s">
        <v>188</v>
      </c>
      <c r="K43" s="53" t="s">
        <v>160</v>
      </c>
      <c r="L43" s="53" t="s">
        <v>32</v>
      </c>
      <c r="M43" s="53" t="s">
        <v>33</v>
      </c>
      <c r="N43" s="53" t="s">
        <v>33</v>
      </c>
      <c r="O43" s="53" t="s">
        <v>46</v>
      </c>
      <c r="P43" s="53" t="s">
        <v>189</v>
      </c>
      <c r="Q43" s="53"/>
      <c r="R43" s="56">
        <v>45869</v>
      </c>
      <c r="S43" s="53" t="s">
        <v>116</v>
      </c>
      <c r="T43" s="53" t="s">
        <v>190</v>
      </c>
      <c r="U43" s="53" t="s">
        <v>33</v>
      </c>
      <c r="V43" s="53" t="s">
        <v>38</v>
      </c>
      <c r="W43" s="89">
        <v>171012025000035</v>
      </c>
      <c r="X43" s="10"/>
    </row>
    <row r="44" spans="1:24" s="11" customFormat="1" ht="15" customHeight="1" x14ac:dyDescent="0.25">
      <c r="A44" s="65" t="s">
        <v>93</v>
      </c>
      <c r="B44" s="48">
        <v>34</v>
      </c>
      <c r="C44" s="48" t="s">
        <v>25</v>
      </c>
      <c r="D44" s="49" t="s">
        <v>26</v>
      </c>
      <c r="E44" s="49">
        <v>3</v>
      </c>
      <c r="F44" s="48" t="s">
        <v>191</v>
      </c>
      <c r="G44" s="50" t="s">
        <v>28</v>
      </c>
      <c r="H44" s="51" t="s">
        <v>192</v>
      </c>
      <c r="I44" s="85">
        <v>30000</v>
      </c>
      <c r="J44" s="51" t="s">
        <v>193</v>
      </c>
      <c r="K44" s="49" t="s">
        <v>160</v>
      </c>
      <c r="L44" s="49" t="s">
        <v>32</v>
      </c>
      <c r="M44" s="49" t="s">
        <v>33</v>
      </c>
      <c r="N44" s="49" t="s">
        <v>33</v>
      </c>
      <c r="O44" s="49" t="s">
        <v>66</v>
      </c>
      <c r="P44" s="49" t="s">
        <v>194</v>
      </c>
      <c r="Q44" s="48"/>
      <c r="R44" s="57">
        <v>45961</v>
      </c>
      <c r="S44" s="49" t="s">
        <v>116</v>
      </c>
      <c r="T44" s="48" t="s">
        <v>195</v>
      </c>
      <c r="U44" s="49" t="s">
        <v>34</v>
      </c>
      <c r="V44" s="49" t="s">
        <v>34</v>
      </c>
      <c r="W44" s="90">
        <v>171012025000036</v>
      </c>
      <c r="X44" s="10"/>
    </row>
    <row r="45" spans="1:24" s="11" customFormat="1" ht="15" customHeight="1" x14ac:dyDescent="0.25">
      <c r="A45" s="65"/>
      <c r="B45" s="52">
        <v>35</v>
      </c>
      <c r="C45" s="52" t="s">
        <v>25</v>
      </c>
      <c r="D45" s="53" t="s">
        <v>26</v>
      </c>
      <c r="E45" s="53">
        <v>3</v>
      </c>
      <c r="F45" s="52" t="s">
        <v>196</v>
      </c>
      <c r="G45" s="54" t="s">
        <v>28</v>
      </c>
      <c r="H45" s="55" t="s">
        <v>197</v>
      </c>
      <c r="I45" s="84">
        <v>13200</v>
      </c>
      <c r="J45" s="55" t="s">
        <v>198</v>
      </c>
      <c r="K45" s="53" t="s">
        <v>160</v>
      </c>
      <c r="L45" s="53" t="s">
        <v>32</v>
      </c>
      <c r="M45" s="53" t="s">
        <v>33</v>
      </c>
      <c r="N45" s="53" t="s">
        <v>34</v>
      </c>
      <c r="O45" s="53" t="s">
        <v>71</v>
      </c>
      <c r="P45" s="53" t="s">
        <v>199</v>
      </c>
      <c r="Q45" s="53" t="s">
        <v>200</v>
      </c>
      <c r="R45" s="56">
        <v>45899</v>
      </c>
      <c r="S45" s="53" t="s">
        <v>39</v>
      </c>
      <c r="T45" s="53" t="s">
        <v>201</v>
      </c>
      <c r="U45" s="53" t="s">
        <v>34</v>
      </c>
      <c r="V45" s="53" t="s">
        <v>34</v>
      </c>
      <c r="W45" s="89">
        <v>171012025000031</v>
      </c>
      <c r="X45" s="10"/>
    </row>
    <row r="46" spans="1:24" s="11" customFormat="1" ht="15" customHeight="1" x14ac:dyDescent="0.25">
      <c r="A46" s="65"/>
      <c r="B46" s="48">
        <v>36</v>
      </c>
      <c r="C46" s="48" t="s">
        <v>25</v>
      </c>
      <c r="D46" s="49" t="s">
        <v>26</v>
      </c>
      <c r="E46" s="49">
        <v>4</v>
      </c>
      <c r="F46" s="48" t="s">
        <v>202</v>
      </c>
      <c r="G46" s="50" t="s">
        <v>28</v>
      </c>
      <c r="H46" s="51" t="s">
        <v>203</v>
      </c>
      <c r="I46" s="85">
        <f>5000-2019</f>
        <v>2981</v>
      </c>
      <c r="J46" s="51" t="s">
        <v>204</v>
      </c>
      <c r="K46" s="49" t="s">
        <v>160</v>
      </c>
      <c r="L46" s="49" t="s">
        <v>32</v>
      </c>
      <c r="M46" s="49" t="s">
        <v>33</v>
      </c>
      <c r="N46" s="49" t="s">
        <v>33</v>
      </c>
      <c r="O46" s="49" t="s">
        <v>66</v>
      </c>
      <c r="P46" s="49" t="s">
        <v>54</v>
      </c>
      <c r="Q46" s="48"/>
      <c r="R46" s="57">
        <v>45807</v>
      </c>
      <c r="S46" s="49" t="s">
        <v>116</v>
      </c>
      <c r="T46" s="48" t="s">
        <v>205</v>
      </c>
      <c r="U46" s="49" t="s">
        <v>34</v>
      </c>
      <c r="V46" s="76" t="s">
        <v>68</v>
      </c>
      <c r="W46" s="90">
        <v>171012025000033</v>
      </c>
      <c r="X46" s="10"/>
    </row>
    <row r="47" spans="1:24" s="11" customFormat="1" ht="15" customHeight="1" x14ac:dyDescent="0.25">
      <c r="A47" s="65"/>
      <c r="B47" s="52">
        <v>37</v>
      </c>
      <c r="C47" s="52" t="s">
        <v>25</v>
      </c>
      <c r="D47" s="53" t="s">
        <v>26</v>
      </c>
      <c r="E47" s="53">
        <v>3</v>
      </c>
      <c r="F47" s="52" t="s">
        <v>206</v>
      </c>
      <c r="G47" s="54" t="s">
        <v>28</v>
      </c>
      <c r="H47" s="55" t="s">
        <v>207</v>
      </c>
      <c r="I47" s="84">
        <v>40000</v>
      </c>
      <c r="J47" s="55" t="s">
        <v>208</v>
      </c>
      <c r="K47" s="53" t="s">
        <v>209</v>
      </c>
      <c r="L47" s="53" t="s">
        <v>32</v>
      </c>
      <c r="M47" s="53" t="s">
        <v>33</v>
      </c>
      <c r="N47" s="53" t="s">
        <v>33</v>
      </c>
      <c r="O47" s="53" t="s">
        <v>38</v>
      </c>
      <c r="P47" s="53" t="s">
        <v>38</v>
      </c>
      <c r="Q47" s="53" t="s">
        <v>38</v>
      </c>
      <c r="R47" s="56" t="s">
        <v>38</v>
      </c>
      <c r="S47" s="53" t="s">
        <v>59</v>
      </c>
      <c r="T47" s="76"/>
      <c r="U47" s="53" t="s">
        <v>34</v>
      </c>
      <c r="V47" s="53" t="s">
        <v>33</v>
      </c>
      <c r="W47" s="89">
        <v>171012025000001</v>
      </c>
      <c r="X47" s="10"/>
    </row>
    <row r="48" spans="1:24" s="11" customFormat="1" ht="15" customHeight="1" x14ac:dyDescent="0.25">
      <c r="A48" s="65"/>
      <c r="B48" s="48">
        <v>38</v>
      </c>
      <c r="C48" s="48" t="s">
        <v>25</v>
      </c>
      <c r="D48" s="49" t="s">
        <v>26</v>
      </c>
      <c r="E48" s="49">
        <v>3</v>
      </c>
      <c r="F48" s="48" t="s">
        <v>210</v>
      </c>
      <c r="G48" s="50" t="s">
        <v>28</v>
      </c>
      <c r="H48" s="51" t="s">
        <v>211</v>
      </c>
      <c r="I48" s="85">
        <v>9635</v>
      </c>
      <c r="J48" s="51" t="s">
        <v>212</v>
      </c>
      <c r="K48" s="49" t="s">
        <v>209</v>
      </c>
      <c r="L48" s="49" t="s">
        <v>32</v>
      </c>
      <c r="M48" s="49" t="s">
        <v>33</v>
      </c>
      <c r="N48" s="49" t="s">
        <v>33</v>
      </c>
      <c r="O48" s="49" t="s">
        <v>71</v>
      </c>
      <c r="P48" s="49" t="s">
        <v>213</v>
      </c>
      <c r="Q48" s="48" t="s">
        <v>214</v>
      </c>
      <c r="R48" s="57">
        <v>45929</v>
      </c>
      <c r="S48" s="49" t="s">
        <v>116</v>
      </c>
      <c r="T48" s="48" t="s">
        <v>215</v>
      </c>
      <c r="U48" s="49" t="s">
        <v>33</v>
      </c>
      <c r="V48" s="49" t="s">
        <v>38</v>
      </c>
      <c r="W48" s="90">
        <v>171012025000003</v>
      </c>
      <c r="X48" s="10"/>
    </row>
    <row r="49" spans="1:24" s="11" customFormat="1" ht="15" customHeight="1" x14ac:dyDescent="0.25">
      <c r="A49" s="65"/>
      <c r="B49" s="52">
        <v>39.1</v>
      </c>
      <c r="C49" s="52" t="s">
        <v>25</v>
      </c>
      <c r="D49" s="53" t="s">
        <v>26</v>
      </c>
      <c r="E49" s="53">
        <v>3</v>
      </c>
      <c r="F49" s="52" t="s">
        <v>216</v>
      </c>
      <c r="G49" s="54" t="s">
        <v>28</v>
      </c>
      <c r="H49" s="55" t="s">
        <v>217</v>
      </c>
      <c r="I49" s="84">
        <f>78395.87+32406.24</f>
        <v>110802.11</v>
      </c>
      <c r="J49" s="55" t="s">
        <v>218</v>
      </c>
      <c r="K49" s="53" t="s">
        <v>219</v>
      </c>
      <c r="L49" s="53" t="s">
        <v>32</v>
      </c>
      <c r="M49" s="53" t="s">
        <v>33</v>
      </c>
      <c r="N49" s="53" t="s">
        <v>34</v>
      </c>
      <c r="O49" s="53" t="s">
        <v>35</v>
      </c>
      <c r="P49" s="53" t="s">
        <v>220</v>
      </c>
      <c r="Q49" s="53" t="s">
        <v>221</v>
      </c>
      <c r="R49" s="56" t="s">
        <v>38</v>
      </c>
      <c r="S49" s="53" t="s">
        <v>116</v>
      </c>
      <c r="T49" s="53" t="s">
        <v>222</v>
      </c>
      <c r="U49" s="53" t="s">
        <v>33</v>
      </c>
      <c r="V49" s="53" t="s">
        <v>38</v>
      </c>
      <c r="W49" s="89">
        <v>171012025000007</v>
      </c>
      <c r="X49" s="10"/>
    </row>
    <row r="50" spans="1:24" s="11" customFormat="1" ht="15" customHeight="1" x14ac:dyDescent="0.25">
      <c r="A50" s="65"/>
      <c r="B50" s="48">
        <v>39.200000000000003</v>
      </c>
      <c r="C50" s="48" t="s">
        <v>25</v>
      </c>
      <c r="D50" s="49" t="s">
        <v>26</v>
      </c>
      <c r="E50" s="49">
        <v>3</v>
      </c>
      <c r="F50" s="48" t="s">
        <v>216</v>
      </c>
      <c r="G50" s="50" t="s">
        <v>28</v>
      </c>
      <c r="H50" s="51" t="s">
        <v>217</v>
      </c>
      <c r="I50" s="85">
        <f>111702.25+47072.26</f>
        <v>158774.51</v>
      </c>
      <c r="J50" s="51" t="s">
        <v>218</v>
      </c>
      <c r="K50" s="49" t="s">
        <v>219</v>
      </c>
      <c r="L50" s="49" t="s">
        <v>32</v>
      </c>
      <c r="M50" s="49" t="s">
        <v>33</v>
      </c>
      <c r="N50" s="49" t="s">
        <v>34</v>
      </c>
      <c r="O50" s="49" t="s">
        <v>46</v>
      </c>
      <c r="P50" s="49" t="s">
        <v>223</v>
      </c>
      <c r="Q50" s="48"/>
      <c r="R50" s="57">
        <v>45801</v>
      </c>
      <c r="S50" s="49" t="s">
        <v>116</v>
      </c>
      <c r="T50" s="48" t="s">
        <v>222</v>
      </c>
      <c r="U50" s="49" t="s">
        <v>33</v>
      </c>
      <c r="V50" s="49" t="s">
        <v>38</v>
      </c>
      <c r="W50" s="90">
        <v>171012025000007</v>
      </c>
      <c r="X50" s="10"/>
    </row>
    <row r="51" spans="1:24" s="11" customFormat="1" ht="15" customHeight="1" x14ac:dyDescent="0.25">
      <c r="A51" s="65"/>
      <c r="B51" s="52">
        <v>40</v>
      </c>
      <c r="C51" s="52" t="s">
        <v>25</v>
      </c>
      <c r="D51" s="53" t="s">
        <v>26</v>
      </c>
      <c r="E51" s="99">
        <v>3</v>
      </c>
      <c r="F51" s="52"/>
      <c r="G51" s="54" t="s">
        <v>28</v>
      </c>
      <c r="H51" s="55" t="s">
        <v>224</v>
      </c>
      <c r="I51" s="84">
        <f>95553.62-36000</f>
        <v>59553.619999999995</v>
      </c>
      <c r="J51" s="55" t="s">
        <v>225</v>
      </c>
      <c r="K51" s="53" t="s">
        <v>219</v>
      </c>
      <c r="L51" s="53" t="s">
        <v>32</v>
      </c>
      <c r="M51" s="53" t="s">
        <v>34</v>
      </c>
      <c r="N51" s="53" t="s">
        <v>33</v>
      </c>
      <c r="O51" s="53" t="s">
        <v>46</v>
      </c>
      <c r="P51" s="53" t="s">
        <v>54</v>
      </c>
      <c r="Q51" s="53"/>
      <c r="R51" s="56">
        <v>45748</v>
      </c>
      <c r="S51" s="53" t="s">
        <v>116</v>
      </c>
      <c r="T51" s="53" t="s">
        <v>226</v>
      </c>
      <c r="U51" s="53" t="s">
        <v>33</v>
      </c>
      <c r="V51" s="53" t="s">
        <v>38</v>
      </c>
      <c r="W51" s="89">
        <v>171012025000005</v>
      </c>
      <c r="X51" s="10"/>
    </row>
    <row r="52" spans="1:24" s="11" customFormat="1" ht="15" customHeight="1" x14ac:dyDescent="0.25">
      <c r="A52" s="65"/>
      <c r="B52" s="48"/>
      <c r="C52" s="48"/>
      <c r="D52" s="49"/>
      <c r="E52" s="49"/>
      <c r="F52" s="48"/>
      <c r="G52" s="50"/>
      <c r="H52" s="51" t="s">
        <v>157</v>
      </c>
      <c r="I52" s="85"/>
      <c r="J52" s="51"/>
      <c r="K52" s="49"/>
      <c r="L52" s="49"/>
      <c r="M52" s="49"/>
      <c r="N52" s="49"/>
      <c r="O52" s="49"/>
      <c r="P52" s="49"/>
      <c r="Q52" s="48"/>
      <c r="R52" s="57"/>
      <c r="S52" s="49"/>
      <c r="T52" s="48"/>
      <c r="U52" s="49"/>
      <c r="V52" s="49"/>
      <c r="W52" s="90" t="s">
        <v>68</v>
      </c>
      <c r="X52" s="10"/>
    </row>
    <row r="53" spans="1:24" s="11" customFormat="1" ht="15" customHeight="1" x14ac:dyDescent="0.25">
      <c r="A53" s="65"/>
      <c r="B53" s="52">
        <v>42</v>
      </c>
      <c r="C53" s="52" t="s">
        <v>25</v>
      </c>
      <c r="D53" s="53" t="s">
        <v>26</v>
      </c>
      <c r="E53" s="53">
        <v>3</v>
      </c>
      <c r="F53" s="52" t="s">
        <v>69</v>
      </c>
      <c r="G53" s="54" t="s">
        <v>28</v>
      </c>
      <c r="H53" s="55" t="s">
        <v>227</v>
      </c>
      <c r="I53" s="84">
        <v>58201.36</v>
      </c>
      <c r="J53" s="55" t="s">
        <v>225</v>
      </c>
      <c r="K53" s="53" t="s">
        <v>219</v>
      </c>
      <c r="L53" s="53" t="s">
        <v>32</v>
      </c>
      <c r="M53" s="53" t="s">
        <v>33</v>
      </c>
      <c r="N53" s="53" t="s">
        <v>33</v>
      </c>
      <c r="O53" s="53" t="s">
        <v>46</v>
      </c>
      <c r="P53" s="53" t="s">
        <v>54</v>
      </c>
      <c r="Q53" s="53"/>
      <c r="R53" s="56">
        <v>45717</v>
      </c>
      <c r="S53" s="53" t="s">
        <v>59</v>
      </c>
      <c r="T53" s="53" t="s">
        <v>228</v>
      </c>
      <c r="U53" s="53" t="s">
        <v>33</v>
      </c>
      <c r="V53" s="53" t="s">
        <v>38</v>
      </c>
      <c r="W53" s="89">
        <v>171012025000006</v>
      </c>
      <c r="X53" s="10"/>
    </row>
    <row r="54" spans="1:24" s="11" customFormat="1" ht="15" customHeight="1" x14ac:dyDescent="0.25">
      <c r="A54" s="65"/>
      <c r="B54" s="48">
        <v>43</v>
      </c>
      <c r="C54" s="48" t="s">
        <v>25</v>
      </c>
      <c r="D54" s="49" t="s">
        <v>26</v>
      </c>
      <c r="E54" s="49">
        <v>3</v>
      </c>
      <c r="F54" s="48" t="s">
        <v>216</v>
      </c>
      <c r="G54" s="50" t="s">
        <v>28</v>
      </c>
      <c r="H54" s="51" t="s">
        <v>229</v>
      </c>
      <c r="I54" s="85">
        <f>51900.84-30884</f>
        <v>21016.839999999997</v>
      </c>
      <c r="J54" s="51" t="s">
        <v>225</v>
      </c>
      <c r="K54" s="49" t="s">
        <v>219</v>
      </c>
      <c r="L54" s="49" t="s">
        <v>32</v>
      </c>
      <c r="M54" s="49" t="s">
        <v>33</v>
      </c>
      <c r="N54" s="49" t="s">
        <v>33</v>
      </c>
      <c r="O54" s="49" t="s">
        <v>66</v>
      </c>
      <c r="P54" s="49" t="s">
        <v>54</v>
      </c>
      <c r="Q54" s="48"/>
      <c r="R54" s="57">
        <v>45747</v>
      </c>
      <c r="S54" s="49" t="s">
        <v>59</v>
      </c>
      <c r="T54" s="48" t="s">
        <v>230</v>
      </c>
      <c r="U54" s="49" t="s">
        <v>34</v>
      </c>
      <c r="V54" s="76" t="s">
        <v>68</v>
      </c>
      <c r="W54" s="90">
        <v>171012025000014</v>
      </c>
      <c r="X54" s="10"/>
    </row>
    <row r="55" spans="1:24" s="11" customFormat="1" ht="15" customHeight="1" x14ac:dyDescent="0.25">
      <c r="A55" s="65"/>
      <c r="B55" s="52"/>
      <c r="C55" s="52"/>
      <c r="D55" s="53"/>
      <c r="E55" s="53"/>
      <c r="F55" s="52"/>
      <c r="G55" s="54"/>
      <c r="H55" s="55" t="s">
        <v>157</v>
      </c>
      <c r="I55" s="84"/>
      <c r="J55" s="55"/>
      <c r="K55" s="53"/>
      <c r="L55" s="53"/>
      <c r="M55" s="53"/>
      <c r="N55" s="53"/>
      <c r="O55" s="53"/>
      <c r="P55" s="53"/>
      <c r="Q55" s="53"/>
      <c r="R55" s="56"/>
      <c r="S55" s="53"/>
      <c r="T55" s="53"/>
      <c r="U55" s="53"/>
      <c r="V55" s="53"/>
      <c r="W55" s="89" t="s">
        <v>68</v>
      </c>
      <c r="X55" s="10"/>
    </row>
    <row r="56" spans="1:24" s="11" customFormat="1" ht="15" customHeight="1" x14ac:dyDescent="0.25">
      <c r="A56" s="65"/>
      <c r="B56" s="48">
        <v>45</v>
      </c>
      <c r="C56" s="48" t="s">
        <v>25</v>
      </c>
      <c r="D56" s="49" t="s">
        <v>26</v>
      </c>
      <c r="E56" s="49">
        <v>3</v>
      </c>
      <c r="F56" s="48" t="s">
        <v>69</v>
      </c>
      <c r="G56" s="50" t="s">
        <v>28</v>
      </c>
      <c r="H56" s="51" t="s">
        <v>231</v>
      </c>
      <c r="I56" s="85">
        <v>45011</v>
      </c>
      <c r="J56" s="51" t="s">
        <v>218</v>
      </c>
      <c r="K56" s="49" t="s">
        <v>219</v>
      </c>
      <c r="L56" s="49" t="s">
        <v>32</v>
      </c>
      <c r="M56" s="49" t="s">
        <v>33</v>
      </c>
      <c r="N56" s="49" t="s">
        <v>33</v>
      </c>
      <c r="O56" s="49" t="s">
        <v>35</v>
      </c>
      <c r="P56" s="49" t="s">
        <v>232</v>
      </c>
      <c r="Q56" s="94" t="s">
        <v>1069</v>
      </c>
      <c r="R56" s="57">
        <v>45689</v>
      </c>
      <c r="S56" s="49" t="s">
        <v>59</v>
      </c>
      <c r="T56" s="48" t="s">
        <v>233</v>
      </c>
      <c r="U56" s="49" t="s">
        <v>33</v>
      </c>
      <c r="V56" s="49" t="s">
        <v>38</v>
      </c>
      <c r="W56" s="90">
        <v>171012025000015</v>
      </c>
      <c r="X56" s="10"/>
    </row>
    <row r="57" spans="1:24" s="11" customFormat="1" ht="15" customHeight="1" x14ac:dyDescent="0.25">
      <c r="A57" s="65"/>
      <c r="B57" s="52">
        <v>46</v>
      </c>
      <c r="C57" s="52" t="s">
        <v>25</v>
      </c>
      <c r="D57" s="53" t="s">
        <v>26</v>
      </c>
      <c r="E57" s="53">
        <v>4</v>
      </c>
      <c r="F57" s="52" t="s">
        <v>164</v>
      </c>
      <c r="G57" s="54" t="s">
        <v>28</v>
      </c>
      <c r="H57" s="55" t="s">
        <v>234</v>
      </c>
      <c r="I57" s="84">
        <v>44304</v>
      </c>
      <c r="J57" s="55" t="s">
        <v>235</v>
      </c>
      <c r="K57" s="53" t="s">
        <v>219</v>
      </c>
      <c r="L57" s="53" t="s">
        <v>32</v>
      </c>
      <c r="M57" s="53" t="s">
        <v>33</v>
      </c>
      <c r="N57" s="53" t="s">
        <v>33</v>
      </c>
      <c r="O57" s="53" t="s">
        <v>66</v>
      </c>
      <c r="P57" s="53" t="s">
        <v>54</v>
      </c>
      <c r="Q57" s="53"/>
      <c r="R57" s="56">
        <v>45717</v>
      </c>
      <c r="S57" s="53" t="s">
        <v>59</v>
      </c>
      <c r="T57" s="53" t="s">
        <v>236</v>
      </c>
      <c r="U57" s="53" t="s">
        <v>34</v>
      </c>
      <c r="V57" s="76" t="s">
        <v>68</v>
      </c>
      <c r="W57" s="89">
        <v>171012025000013</v>
      </c>
      <c r="X57" s="10"/>
    </row>
    <row r="58" spans="1:24" s="11" customFormat="1" ht="15" customHeight="1" x14ac:dyDescent="0.25">
      <c r="A58" s="65"/>
      <c r="B58" s="48"/>
      <c r="C58" s="48"/>
      <c r="D58" s="49"/>
      <c r="E58" s="49"/>
      <c r="F58" s="48"/>
      <c r="G58" s="50"/>
      <c r="H58" s="51" t="s">
        <v>157</v>
      </c>
      <c r="I58" s="85"/>
      <c r="J58" s="51"/>
      <c r="K58" s="49"/>
      <c r="L58" s="49"/>
      <c r="M58" s="49"/>
      <c r="N58" s="49"/>
      <c r="O58" s="49"/>
      <c r="P58" s="49"/>
      <c r="Q58" s="48"/>
      <c r="R58" s="57"/>
      <c r="S58" s="49"/>
      <c r="T58" s="48"/>
      <c r="U58" s="49"/>
      <c r="V58" s="49"/>
      <c r="W58" s="90" t="s">
        <v>68</v>
      </c>
      <c r="X58" s="10"/>
    </row>
    <row r="59" spans="1:24" s="11" customFormat="1" ht="15" customHeight="1" x14ac:dyDescent="0.25">
      <c r="A59" s="65"/>
      <c r="B59" s="52">
        <v>48</v>
      </c>
      <c r="C59" s="52" t="s">
        <v>25</v>
      </c>
      <c r="D59" s="53" t="s">
        <v>26</v>
      </c>
      <c r="E59" s="53">
        <v>3</v>
      </c>
      <c r="F59" s="52" t="s">
        <v>237</v>
      </c>
      <c r="G59" s="54" t="s">
        <v>28</v>
      </c>
      <c r="H59" s="55" t="s">
        <v>238</v>
      </c>
      <c r="I59" s="84">
        <v>22095.55</v>
      </c>
      <c r="J59" s="55" t="s">
        <v>225</v>
      </c>
      <c r="K59" s="53" t="s">
        <v>219</v>
      </c>
      <c r="L59" s="53" t="s">
        <v>32</v>
      </c>
      <c r="M59" s="53" t="s">
        <v>34</v>
      </c>
      <c r="N59" s="53" t="s">
        <v>33</v>
      </c>
      <c r="O59" s="53" t="s">
        <v>239</v>
      </c>
      <c r="P59" s="53" t="s">
        <v>54</v>
      </c>
      <c r="Q59" s="53"/>
      <c r="R59" s="56">
        <v>45901</v>
      </c>
      <c r="S59" s="53" t="s">
        <v>59</v>
      </c>
      <c r="T59" s="53" t="s">
        <v>236</v>
      </c>
      <c r="U59" s="53" t="s">
        <v>34</v>
      </c>
      <c r="V59" s="76" t="s">
        <v>68</v>
      </c>
      <c r="W59" s="89">
        <v>171012025000004</v>
      </c>
      <c r="X59" s="10"/>
    </row>
    <row r="60" spans="1:24" s="11" customFormat="1" ht="15" customHeight="1" x14ac:dyDescent="0.25">
      <c r="A60" s="65"/>
      <c r="B60" s="48">
        <v>49</v>
      </c>
      <c r="C60" s="48" t="s">
        <v>25</v>
      </c>
      <c r="D60" s="49" t="s">
        <v>26</v>
      </c>
      <c r="E60" s="49">
        <v>3</v>
      </c>
      <c r="F60" s="48" t="s">
        <v>182</v>
      </c>
      <c r="G60" s="50" t="s">
        <v>28</v>
      </c>
      <c r="H60" s="51" t="s">
        <v>240</v>
      </c>
      <c r="I60" s="85">
        <f>15166.77+30884</f>
        <v>46050.770000000004</v>
      </c>
      <c r="J60" s="51" t="s">
        <v>241</v>
      </c>
      <c r="K60" s="49" t="s">
        <v>219</v>
      </c>
      <c r="L60" s="49" t="s">
        <v>32</v>
      </c>
      <c r="M60" s="49" t="s">
        <v>34</v>
      </c>
      <c r="N60" s="49" t="s">
        <v>33</v>
      </c>
      <c r="O60" s="49" t="s">
        <v>35</v>
      </c>
      <c r="P60" s="49" t="s">
        <v>242</v>
      </c>
      <c r="Q60" s="48" t="s">
        <v>243</v>
      </c>
      <c r="R60" s="57">
        <v>45689</v>
      </c>
      <c r="S60" s="49" t="s">
        <v>59</v>
      </c>
      <c r="T60" s="48" t="s">
        <v>244</v>
      </c>
      <c r="U60" s="49" t="s">
        <v>33</v>
      </c>
      <c r="V60" s="49" t="s">
        <v>38</v>
      </c>
      <c r="W60" s="90">
        <v>171012025000016</v>
      </c>
      <c r="X60" s="10"/>
    </row>
    <row r="61" spans="1:24" s="11" customFormat="1" ht="15" customHeight="1" x14ac:dyDescent="0.25">
      <c r="A61" s="65"/>
      <c r="B61" s="52">
        <v>50</v>
      </c>
      <c r="C61" s="52" t="s">
        <v>25</v>
      </c>
      <c r="D61" s="53" t="s">
        <v>26</v>
      </c>
      <c r="E61" s="53">
        <v>3</v>
      </c>
      <c r="F61" s="52" t="s">
        <v>69</v>
      </c>
      <c r="G61" s="54" t="s">
        <v>28</v>
      </c>
      <c r="H61" s="55" t="s">
        <v>245</v>
      </c>
      <c r="I61" s="84">
        <v>10328.040000000001</v>
      </c>
      <c r="J61" s="55" t="s">
        <v>246</v>
      </c>
      <c r="K61" s="53" t="s">
        <v>219</v>
      </c>
      <c r="L61" s="53" t="s">
        <v>32</v>
      </c>
      <c r="M61" s="53" t="s">
        <v>33</v>
      </c>
      <c r="N61" s="53" t="s">
        <v>33</v>
      </c>
      <c r="O61" s="53" t="s">
        <v>66</v>
      </c>
      <c r="P61" s="53" t="s">
        <v>54</v>
      </c>
      <c r="Q61" s="53"/>
      <c r="R61" s="56">
        <v>45870</v>
      </c>
      <c r="S61" s="53" t="s">
        <v>116</v>
      </c>
      <c r="T61" s="53" t="s">
        <v>247</v>
      </c>
      <c r="U61" s="53" t="s">
        <v>34</v>
      </c>
      <c r="V61" s="76" t="s">
        <v>68</v>
      </c>
      <c r="W61" s="89">
        <v>171012025000010</v>
      </c>
      <c r="X61" s="10"/>
    </row>
    <row r="62" spans="1:24" s="11" customFormat="1" ht="15" customHeight="1" x14ac:dyDescent="0.25">
      <c r="A62" s="65"/>
      <c r="B62" s="48">
        <v>51</v>
      </c>
      <c r="C62" s="48" t="s">
        <v>25</v>
      </c>
      <c r="D62" s="49" t="s">
        <v>26</v>
      </c>
      <c r="E62" s="49">
        <v>3</v>
      </c>
      <c r="F62" s="48" t="s">
        <v>248</v>
      </c>
      <c r="G62" s="50" t="s">
        <v>28</v>
      </c>
      <c r="H62" s="51" t="s">
        <v>249</v>
      </c>
      <c r="I62" s="85">
        <v>5669.38</v>
      </c>
      <c r="J62" s="51" t="s">
        <v>225</v>
      </c>
      <c r="K62" s="49" t="s">
        <v>219</v>
      </c>
      <c r="L62" s="49" t="s">
        <v>32</v>
      </c>
      <c r="M62" s="49" t="s">
        <v>33</v>
      </c>
      <c r="N62" s="49" t="s">
        <v>33</v>
      </c>
      <c r="O62" s="49" t="s">
        <v>239</v>
      </c>
      <c r="P62" s="49" t="s">
        <v>250</v>
      </c>
      <c r="Q62" s="48"/>
      <c r="R62" s="57">
        <v>45901</v>
      </c>
      <c r="S62" s="49" t="s">
        <v>59</v>
      </c>
      <c r="T62" s="48" t="s">
        <v>251</v>
      </c>
      <c r="U62" s="49" t="s">
        <v>34</v>
      </c>
      <c r="V62" s="76" t="s">
        <v>68</v>
      </c>
      <c r="W62" s="90">
        <v>171012025000012</v>
      </c>
      <c r="X62" s="10"/>
    </row>
    <row r="63" spans="1:24" s="11" customFormat="1" ht="15" customHeight="1" x14ac:dyDescent="0.25">
      <c r="A63" s="65"/>
      <c r="B63" s="52">
        <v>52</v>
      </c>
      <c r="C63" s="52" t="s">
        <v>25</v>
      </c>
      <c r="D63" s="53" t="s">
        <v>26</v>
      </c>
      <c r="E63" s="53">
        <v>3</v>
      </c>
      <c r="F63" s="52" t="s">
        <v>252</v>
      </c>
      <c r="G63" s="54" t="s">
        <v>28</v>
      </c>
      <c r="H63" s="55" t="s">
        <v>253</v>
      </c>
      <c r="I63" s="84">
        <v>2016439</v>
      </c>
      <c r="J63" s="55" t="s">
        <v>254</v>
      </c>
      <c r="K63" s="53" t="s">
        <v>255</v>
      </c>
      <c r="L63" s="53" t="s">
        <v>32</v>
      </c>
      <c r="M63" s="53" t="s">
        <v>33</v>
      </c>
      <c r="N63" s="53" t="s">
        <v>34</v>
      </c>
      <c r="O63" s="53" t="s">
        <v>35</v>
      </c>
      <c r="P63" s="53" t="s">
        <v>256</v>
      </c>
      <c r="Q63" s="53" t="s">
        <v>257</v>
      </c>
      <c r="R63" s="56" t="s">
        <v>38</v>
      </c>
      <c r="S63" s="53" t="s">
        <v>59</v>
      </c>
      <c r="T63" s="53" t="s">
        <v>258</v>
      </c>
      <c r="U63" s="53" t="s">
        <v>33</v>
      </c>
      <c r="V63" s="53" t="s">
        <v>38</v>
      </c>
      <c r="W63" s="89">
        <v>171012025000040</v>
      </c>
      <c r="X63" s="10"/>
    </row>
    <row r="64" spans="1:24" s="11" customFormat="1" ht="15" customHeight="1" x14ac:dyDescent="0.25">
      <c r="A64" s="65"/>
      <c r="B64" s="48">
        <v>53</v>
      </c>
      <c r="C64" s="48" t="s">
        <v>25</v>
      </c>
      <c r="D64" s="49" t="s">
        <v>26</v>
      </c>
      <c r="E64" s="49">
        <v>3</v>
      </c>
      <c r="F64" s="48" t="s">
        <v>252</v>
      </c>
      <c r="G64" s="50" t="s">
        <v>28</v>
      </c>
      <c r="H64" s="51" t="s">
        <v>259</v>
      </c>
      <c r="I64" s="85">
        <v>1130195.31</v>
      </c>
      <c r="J64" s="51" t="s">
        <v>254</v>
      </c>
      <c r="K64" s="49" t="s">
        <v>255</v>
      </c>
      <c r="L64" s="49" t="s">
        <v>32</v>
      </c>
      <c r="M64" s="49" t="s">
        <v>33</v>
      </c>
      <c r="N64" s="49" t="s">
        <v>34</v>
      </c>
      <c r="O64" s="49" t="s">
        <v>35</v>
      </c>
      <c r="P64" s="49" t="s">
        <v>260</v>
      </c>
      <c r="Q64" s="48" t="s">
        <v>261</v>
      </c>
      <c r="R64" s="57" t="s">
        <v>38</v>
      </c>
      <c r="S64" s="49" t="s">
        <v>59</v>
      </c>
      <c r="T64" s="48" t="s">
        <v>258</v>
      </c>
      <c r="U64" s="49" t="s">
        <v>33</v>
      </c>
      <c r="V64" s="49" t="s">
        <v>38</v>
      </c>
      <c r="W64" s="90">
        <v>171012025000040</v>
      </c>
      <c r="X64" s="10"/>
    </row>
    <row r="65" spans="1:24" s="11" customFormat="1" ht="15" customHeight="1" x14ac:dyDescent="0.25">
      <c r="A65" s="65"/>
      <c r="B65" s="52">
        <v>54.1</v>
      </c>
      <c r="C65" s="52" t="s">
        <v>25</v>
      </c>
      <c r="D65" s="53" t="s">
        <v>26</v>
      </c>
      <c r="E65" s="53">
        <v>3</v>
      </c>
      <c r="F65" s="52" t="s">
        <v>262</v>
      </c>
      <c r="G65" s="54" t="s">
        <v>28</v>
      </c>
      <c r="H65" s="55" t="s">
        <v>263</v>
      </c>
      <c r="I65" s="84">
        <v>1003113.66</v>
      </c>
      <c r="J65" s="55" t="s">
        <v>254</v>
      </c>
      <c r="K65" s="53" t="s">
        <v>255</v>
      </c>
      <c r="L65" s="53" t="s">
        <v>32</v>
      </c>
      <c r="M65" s="53" t="s">
        <v>34</v>
      </c>
      <c r="N65" s="53" t="s">
        <v>34</v>
      </c>
      <c r="O65" s="53" t="s">
        <v>46</v>
      </c>
      <c r="P65" s="53" t="s">
        <v>264</v>
      </c>
      <c r="Q65" s="53"/>
      <c r="R65" s="56">
        <v>45823</v>
      </c>
      <c r="S65" s="53" t="s">
        <v>39</v>
      </c>
      <c r="T65" s="53" t="s">
        <v>265</v>
      </c>
      <c r="U65" s="53" t="s">
        <v>33</v>
      </c>
      <c r="V65" s="53" t="s">
        <v>38</v>
      </c>
      <c r="W65" s="89">
        <v>171012025000037</v>
      </c>
      <c r="X65" s="10"/>
    </row>
    <row r="66" spans="1:24" s="11" customFormat="1" ht="15" customHeight="1" x14ac:dyDescent="0.25">
      <c r="A66" s="65"/>
      <c r="B66" s="48">
        <v>54.2</v>
      </c>
      <c r="C66" s="48" t="s">
        <v>25</v>
      </c>
      <c r="D66" s="49" t="s">
        <v>26</v>
      </c>
      <c r="E66" s="49">
        <v>3</v>
      </c>
      <c r="F66" s="48" t="s">
        <v>262</v>
      </c>
      <c r="G66" s="50" t="s">
        <v>28</v>
      </c>
      <c r="H66" s="51" t="s">
        <v>266</v>
      </c>
      <c r="I66" s="85">
        <f>832120.19</f>
        <v>832120.19</v>
      </c>
      <c r="J66" s="51" t="s">
        <v>254</v>
      </c>
      <c r="K66" s="49" t="s">
        <v>255</v>
      </c>
      <c r="L66" s="49" t="s">
        <v>32</v>
      </c>
      <c r="M66" s="49" t="s">
        <v>33</v>
      </c>
      <c r="N66" s="49" t="s">
        <v>34</v>
      </c>
      <c r="O66" s="49" t="s">
        <v>35</v>
      </c>
      <c r="P66" s="49" t="s">
        <v>267</v>
      </c>
      <c r="Q66" s="48" t="s">
        <v>268</v>
      </c>
      <c r="R66" s="57">
        <v>45823</v>
      </c>
      <c r="S66" s="49" t="s">
        <v>39</v>
      </c>
      <c r="T66" s="48" t="s">
        <v>265</v>
      </c>
      <c r="U66" s="49" t="s">
        <v>33</v>
      </c>
      <c r="V66" s="49" t="s">
        <v>38</v>
      </c>
      <c r="W66" s="90">
        <v>171012025000037</v>
      </c>
      <c r="X66" s="10"/>
    </row>
    <row r="67" spans="1:24" s="11" customFormat="1" ht="15" customHeight="1" x14ac:dyDescent="0.25">
      <c r="A67" s="65"/>
      <c r="B67" s="52">
        <v>55</v>
      </c>
      <c r="C67" s="52" t="s">
        <v>25</v>
      </c>
      <c r="D67" s="53" t="s">
        <v>26</v>
      </c>
      <c r="E67" s="53">
        <v>3</v>
      </c>
      <c r="F67" s="52" t="s">
        <v>269</v>
      </c>
      <c r="G67" s="54" t="s">
        <v>28</v>
      </c>
      <c r="H67" s="55" t="s">
        <v>270</v>
      </c>
      <c r="I67" s="84">
        <v>326446.55</v>
      </c>
      <c r="J67" s="55" t="s">
        <v>254</v>
      </c>
      <c r="K67" s="53" t="s">
        <v>255</v>
      </c>
      <c r="L67" s="53" t="s">
        <v>32</v>
      </c>
      <c r="M67" s="53" t="s">
        <v>33</v>
      </c>
      <c r="N67" s="53" t="s">
        <v>34</v>
      </c>
      <c r="O67" s="53" t="s">
        <v>35</v>
      </c>
      <c r="P67" s="53" t="s">
        <v>271</v>
      </c>
      <c r="Q67" s="53" t="s">
        <v>272</v>
      </c>
      <c r="R67" s="56" t="s">
        <v>38</v>
      </c>
      <c r="S67" s="53" t="s">
        <v>59</v>
      </c>
      <c r="T67" s="53" t="s">
        <v>273</v>
      </c>
      <c r="U67" s="53" t="s">
        <v>33</v>
      </c>
      <c r="V67" s="53" t="s">
        <v>38</v>
      </c>
      <c r="W67" s="89">
        <v>171012025000042</v>
      </c>
      <c r="X67" s="10"/>
    </row>
    <row r="68" spans="1:24" s="11" customFormat="1" ht="15" customHeight="1" x14ac:dyDescent="0.25">
      <c r="A68" s="65"/>
      <c r="B68" s="48">
        <v>56</v>
      </c>
      <c r="C68" s="48" t="s">
        <v>25</v>
      </c>
      <c r="D68" s="49" t="s">
        <v>26</v>
      </c>
      <c r="E68" s="99">
        <v>3</v>
      </c>
      <c r="F68" s="94"/>
      <c r="G68" s="50" t="s">
        <v>28</v>
      </c>
      <c r="H68" s="51" t="s">
        <v>274</v>
      </c>
      <c r="I68" s="85">
        <v>60000</v>
      </c>
      <c r="J68" s="51" t="s">
        <v>275</v>
      </c>
      <c r="K68" s="49" t="s">
        <v>255</v>
      </c>
      <c r="L68" s="49" t="s">
        <v>32</v>
      </c>
      <c r="M68" s="49" t="s">
        <v>34</v>
      </c>
      <c r="N68" s="49" t="s">
        <v>33</v>
      </c>
      <c r="O68" s="49" t="s">
        <v>46</v>
      </c>
      <c r="P68" s="49" t="s">
        <v>276</v>
      </c>
      <c r="Q68" s="48"/>
      <c r="R68" s="57">
        <v>45870</v>
      </c>
      <c r="S68" s="49" t="s">
        <v>116</v>
      </c>
      <c r="T68" s="48" t="s">
        <v>277</v>
      </c>
      <c r="U68" s="49" t="s">
        <v>33</v>
      </c>
      <c r="V68" s="49" t="s">
        <v>38</v>
      </c>
      <c r="W68" s="90">
        <v>171012025000048</v>
      </c>
      <c r="X68" s="10"/>
    </row>
    <row r="69" spans="1:24" s="11" customFormat="1" ht="15" customHeight="1" x14ac:dyDescent="0.25">
      <c r="A69" s="65"/>
      <c r="B69" s="52">
        <v>57</v>
      </c>
      <c r="C69" s="52" t="s">
        <v>25</v>
      </c>
      <c r="D69" s="53" t="s">
        <v>26</v>
      </c>
      <c r="E69" s="53">
        <v>3</v>
      </c>
      <c r="F69" s="52" t="s">
        <v>269</v>
      </c>
      <c r="G69" s="54" t="s">
        <v>28</v>
      </c>
      <c r="H69" s="55" t="s">
        <v>278</v>
      </c>
      <c r="I69" s="84">
        <v>49065.01</v>
      </c>
      <c r="J69" s="55" t="s">
        <v>254</v>
      </c>
      <c r="K69" s="53" t="s">
        <v>255</v>
      </c>
      <c r="L69" s="53" t="s">
        <v>32</v>
      </c>
      <c r="M69" s="53" t="s">
        <v>33</v>
      </c>
      <c r="N69" s="53" t="s">
        <v>34</v>
      </c>
      <c r="O69" s="53" t="s">
        <v>35</v>
      </c>
      <c r="P69" s="53" t="s">
        <v>279</v>
      </c>
      <c r="Q69" s="53" t="s">
        <v>280</v>
      </c>
      <c r="R69" s="56" t="s">
        <v>38</v>
      </c>
      <c r="S69" s="53" t="s">
        <v>59</v>
      </c>
      <c r="T69" s="53" t="s">
        <v>273</v>
      </c>
      <c r="U69" s="53" t="s">
        <v>33</v>
      </c>
      <c r="V69" s="53" t="s">
        <v>38</v>
      </c>
      <c r="W69" s="89">
        <v>171012025000042</v>
      </c>
      <c r="X69" s="10"/>
    </row>
    <row r="70" spans="1:24" s="11" customFormat="1" ht="15" customHeight="1" x14ac:dyDescent="0.25">
      <c r="A70" s="65"/>
      <c r="B70" s="48">
        <v>58</v>
      </c>
      <c r="C70" s="48" t="s">
        <v>25</v>
      </c>
      <c r="D70" s="49" t="s">
        <v>26</v>
      </c>
      <c r="E70" s="99">
        <v>3</v>
      </c>
      <c r="F70" s="94"/>
      <c r="G70" s="50" t="s">
        <v>28</v>
      </c>
      <c r="H70" s="51" t="s">
        <v>281</v>
      </c>
      <c r="I70" s="85">
        <v>35000</v>
      </c>
      <c r="J70" s="51" t="s">
        <v>282</v>
      </c>
      <c r="K70" s="49" t="s">
        <v>255</v>
      </c>
      <c r="L70" s="49" t="s">
        <v>32</v>
      </c>
      <c r="M70" s="49" t="s">
        <v>34</v>
      </c>
      <c r="N70" s="49" t="s">
        <v>33</v>
      </c>
      <c r="O70" s="49" t="s">
        <v>46</v>
      </c>
      <c r="P70" s="49" t="s">
        <v>283</v>
      </c>
      <c r="Q70" s="48"/>
      <c r="R70" s="57">
        <v>45748</v>
      </c>
      <c r="S70" s="49" t="s">
        <v>116</v>
      </c>
      <c r="T70" s="48" t="s">
        <v>284</v>
      </c>
      <c r="U70" s="49" t="s">
        <v>33</v>
      </c>
      <c r="V70" s="49" t="s">
        <v>38</v>
      </c>
      <c r="W70" s="90">
        <v>171012025000045</v>
      </c>
      <c r="X70" s="10"/>
    </row>
    <row r="71" spans="1:24" s="11" customFormat="1" ht="15" customHeight="1" x14ac:dyDescent="0.25">
      <c r="A71" s="65"/>
      <c r="B71" s="52">
        <v>59</v>
      </c>
      <c r="C71" s="52" t="s">
        <v>25</v>
      </c>
      <c r="D71" s="53" t="s">
        <v>26</v>
      </c>
      <c r="E71" s="53">
        <v>3</v>
      </c>
      <c r="F71" s="52" t="s">
        <v>285</v>
      </c>
      <c r="G71" s="54" t="s">
        <v>28</v>
      </c>
      <c r="H71" s="55" t="s">
        <v>286</v>
      </c>
      <c r="I71" s="84">
        <v>40000</v>
      </c>
      <c r="J71" s="55" t="s">
        <v>254</v>
      </c>
      <c r="K71" s="53" t="s">
        <v>255</v>
      </c>
      <c r="L71" s="53" t="s">
        <v>32</v>
      </c>
      <c r="M71" s="53" t="s">
        <v>33</v>
      </c>
      <c r="N71" s="53" t="s">
        <v>34</v>
      </c>
      <c r="O71" s="53" t="s">
        <v>71</v>
      </c>
      <c r="P71" s="53" t="s">
        <v>287</v>
      </c>
      <c r="Q71" s="53" t="s">
        <v>288</v>
      </c>
      <c r="R71" s="56">
        <v>45741</v>
      </c>
      <c r="S71" s="53" t="s">
        <v>116</v>
      </c>
      <c r="T71" s="53" t="s">
        <v>289</v>
      </c>
      <c r="U71" s="53" t="s">
        <v>33</v>
      </c>
      <c r="V71" s="53" t="s">
        <v>38</v>
      </c>
      <c r="W71" s="89">
        <v>171012025000038</v>
      </c>
      <c r="X71" s="10"/>
    </row>
    <row r="72" spans="1:24" s="11" customFormat="1" ht="15" customHeight="1" x14ac:dyDescent="0.25">
      <c r="A72" s="65"/>
      <c r="B72" s="48">
        <v>60</v>
      </c>
      <c r="C72" s="48" t="s">
        <v>25</v>
      </c>
      <c r="D72" s="49" t="s">
        <v>26</v>
      </c>
      <c r="E72" s="49">
        <v>3</v>
      </c>
      <c r="F72" s="48" t="s">
        <v>290</v>
      </c>
      <c r="G72" s="50" t="s">
        <v>28</v>
      </c>
      <c r="H72" s="51" t="s">
        <v>291</v>
      </c>
      <c r="I72" s="85">
        <f>984.98*2*(1+3.688%)*12</f>
        <v>24511.345497600003</v>
      </c>
      <c r="J72" s="51" t="s">
        <v>292</v>
      </c>
      <c r="K72" s="49" t="s">
        <v>255</v>
      </c>
      <c r="L72" s="49" t="s">
        <v>32</v>
      </c>
      <c r="M72" s="49" t="s">
        <v>33</v>
      </c>
      <c r="N72" s="49" t="s">
        <v>34</v>
      </c>
      <c r="O72" s="49" t="s">
        <v>35</v>
      </c>
      <c r="P72" s="49" t="s">
        <v>256</v>
      </c>
      <c r="Q72" s="48" t="s">
        <v>293</v>
      </c>
      <c r="R72" s="57" t="s">
        <v>38</v>
      </c>
      <c r="S72" s="49" t="s">
        <v>59</v>
      </c>
      <c r="T72" s="48" t="s">
        <v>294</v>
      </c>
      <c r="U72" s="49" t="s">
        <v>33</v>
      </c>
      <c r="V72" s="49" t="s">
        <v>38</v>
      </c>
      <c r="W72" s="90">
        <v>171012025000043</v>
      </c>
      <c r="X72" s="10"/>
    </row>
    <row r="73" spans="1:24" s="11" customFormat="1" ht="15" customHeight="1" x14ac:dyDescent="0.25">
      <c r="A73" s="65"/>
      <c r="B73" s="52">
        <v>61</v>
      </c>
      <c r="C73" s="52" t="s">
        <v>25</v>
      </c>
      <c r="D73" s="53" t="s">
        <v>26</v>
      </c>
      <c r="E73" s="53">
        <v>3</v>
      </c>
      <c r="F73" s="52" t="s">
        <v>290</v>
      </c>
      <c r="G73" s="54" t="s">
        <v>28</v>
      </c>
      <c r="H73" s="55" t="s">
        <v>295</v>
      </c>
      <c r="I73" s="84">
        <f>984.98*(1+3.688%)*12</f>
        <v>12255.672748800002</v>
      </c>
      <c r="J73" s="55" t="s">
        <v>292</v>
      </c>
      <c r="K73" s="53" t="s">
        <v>255</v>
      </c>
      <c r="L73" s="53" t="s">
        <v>32</v>
      </c>
      <c r="M73" s="53" t="s">
        <v>33</v>
      </c>
      <c r="N73" s="53" t="s">
        <v>34</v>
      </c>
      <c r="O73" s="53" t="s">
        <v>35</v>
      </c>
      <c r="P73" s="53" t="s">
        <v>260</v>
      </c>
      <c r="Q73" s="53" t="s">
        <v>261</v>
      </c>
      <c r="R73" s="56" t="s">
        <v>38</v>
      </c>
      <c r="S73" s="53" t="s">
        <v>59</v>
      </c>
      <c r="T73" s="53" t="s">
        <v>294</v>
      </c>
      <c r="U73" s="53" t="s">
        <v>33</v>
      </c>
      <c r="V73" s="53" t="s">
        <v>38</v>
      </c>
      <c r="W73" s="89">
        <v>171012025000043</v>
      </c>
      <c r="X73" s="10"/>
    </row>
    <row r="74" spans="1:24" s="11" customFormat="1" ht="15" customHeight="1" x14ac:dyDescent="0.25">
      <c r="A74" s="65"/>
      <c r="B74" s="48">
        <v>62</v>
      </c>
      <c r="C74" s="48" t="s">
        <v>25</v>
      </c>
      <c r="D74" s="49" t="s">
        <v>26</v>
      </c>
      <c r="E74" s="49">
        <v>3</v>
      </c>
      <c r="F74" s="48" t="s">
        <v>69</v>
      </c>
      <c r="G74" s="50" t="s">
        <v>28</v>
      </c>
      <c r="H74" s="51" t="s">
        <v>296</v>
      </c>
      <c r="I74" s="85">
        <v>9000</v>
      </c>
      <c r="J74" s="51" t="s">
        <v>254</v>
      </c>
      <c r="K74" s="49" t="s">
        <v>255</v>
      </c>
      <c r="L74" s="49" t="s">
        <v>32</v>
      </c>
      <c r="M74" s="49" t="s">
        <v>33</v>
      </c>
      <c r="N74" s="49" t="s">
        <v>34</v>
      </c>
      <c r="O74" s="49" t="s">
        <v>71</v>
      </c>
      <c r="P74" s="49" t="s">
        <v>297</v>
      </c>
      <c r="Q74" s="48" t="s">
        <v>298</v>
      </c>
      <c r="R74" s="57">
        <v>45859</v>
      </c>
      <c r="S74" s="49" t="s">
        <v>116</v>
      </c>
      <c r="T74" s="48" t="s">
        <v>299</v>
      </c>
      <c r="U74" s="49" t="s">
        <v>33</v>
      </c>
      <c r="V74" s="49" t="s">
        <v>38</v>
      </c>
      <c r="W74" s="90">
        <v>171012025000039</v>
      </c>
      <c r="X74" s="10"/>
    </row>
    <row r="75" spans="1:24" s="11" customFormat="1" ht="15" customHeight="1" x14ac:dyDescent="0.25">
      <c r="A75" s="65"/>
      <c r="B75" s="52">
        <v>63</v>
      </c>
      <c r="C75" s="52" t="s">
        <v>25</v>
      </c>
      <c r="D75" s="53" t="s">
        <v>26</v>
      </c>
      <c r="E75" s="53">
        <v>3</v>
      </c>
      <c r="F75" s="52" t="s">
        <v>252</v>
      </c>
      <c r="G75" s="54" t="s">
        <v>28</v>
      </c>
      <c r="H75" s="55" t="s">
        <v>300</v>
      </c>
      <c r="I75" s="84">
        <v>1181.03</v>
      </c>
      <c r="J75" s="55" t="s">
        <v>254</v>
      </c>
      <c r="K75" s="53" t="s">
        <v>255</v>
      </c>
      <c r="L75" s="53" t="s">
        <v>32</v>
      </c>
      <c r="M75" s="53" t="s">
        <v>33</v>
      </c>
      <c r="N75" s="53" t="s">
        <v>34</v>
      </c>
      <c r="O75" s="53" t="s">
        <v>35</v>
      </c>
      <c r="P75" s="53" t="s">
        <v>301</v>
      </c>
      <c r="Q75" s="53" t="s">
        <v>302</v>
      </c>
      <c r="R75" s="56" t="s">
        <v>38</v>
      </c>
      <c r="S75" s="53" t="s">
        <v>59</v>
      </c>
      <c r="T75" s="53" t="s">
        <v>258</v>
      </c>
      <c r="U75" s="53" t="s">
        <v>33</v>
      </c>
      <c r="V75" s="53" t="s">
        <v>38</v>
      </c>
      <c r="W75" s="89">
        <v>171012025000040</v>
      </c>
      <c r="X75" s="10"/>
    </row>
    <row r="76" spans="1:24" s="11" customFormat="1" ht="15" customHeight="1" x14ac:dyDescent="0.25">
      <c r="A76" s="65"/>
      <c r="B76" s="48">
        <v>64</v>
      </c>
      <c r="C76" s="48" t="s">
        <v>25</v>
      </c>
      <c r="D76" s="49" t="s">
        <v>26</v>
      </c>
      <c r="E76" s="49">
        <v>3</v>
      </c>
      <c r="F76" s="48" t="s">
        <v>290</v>
      </c>
      <c r="G76" s="50" t="s">
        <v>28</v>
      </c>
      <c r="H76" s="51" t="s">
        <v>303</v>
      </c>
      <c r="I76" s="85">
        <f>2.38*(1+3.688%)*12</f>
        <v>29.613292800000004</v>
      </c>
      <c r="J76" s="51" t="s">
        <v>292</v>
      </c>
      <c r="K76" s="49" t="s">
        <v>255</v>
      </c>
      <c r="L76" s="49" t="s">
        <v>32</v>
      </c>
      <c r="M76" s="49" t="s">
        <v>33</v>
      </c>
      <c r="N76" s="49" t="s">
        <v>34</v>
      </c>
      <c r="O76" s="49" t="s">
        <v>35</v>
      </c>
      <c r="P76" s="49" t="s">
        <v>301</v>
      </c>
      <c r="Q76" s="48" t="s">
        <v>302</v>
      </c>
      <c r="R76" s="57" t="s">
        <v>38</v>
      </c>
      <c r="S76" s="49" t="s">
        <v>59</v>
      </c>
      <c r="T76" s="48" t="s">
        <v>294</v>
      </c>
      <c r="U76" s="49" t="s">
        <v>33</v>
      </c>
      <c r="V76" s="49" t="s">
        <v>38</v>
      </c>
      <c r="W76" s="90">
        <v>171012025000043</v>
      </c>
      <c r="X76" s="10"/>
    </row>
    <row r="77" spans="1:24" s="11" customFormat="1" ht="15" customHeight="1" x14ac:dyDescent="0.25">
      <c r="A77" s="65"/>
      <c r="B77" s="52">
        <v>65</v>
      </c>
      <c r="C77" s="52" t="s">
        <v>25</v>
      </c>
      <c r="D77" s="53" t="s">
        <v>26</v>
      </c>
      <c r="E77" s="53">
        <v>4</v>
      </c>
      <c r="F77" s="52" t="s">
        <v>186</v>
      </c>
      <c r="G77" s="54" t="s">
        <v>28</v>
      </c>
      <c r="H77" s="55" t="s">
        <v>304</v>
      </c>
      <c r="I77" s="84">
        <v>20000</v>
      </c>
      <c r="J77" s="55" t="s">
        <v>305</v>
      </c>
      <c r="K77" s="53" t="s">
        <v>255</v>
      </c>
      <c r="L77" s="53" t="s">
        <v>32</v>
      </c>
      <c r="M77" s="53" t="s">
        <v>33</v>
      </c>
      <c r="N77" s="53" t="s">
        <v>34</v>
      </c>
      <c r="O77" s="53" t="s">
        <v>46</v>
      </c>
      <c r="P77" s="53" t="s">
        <v>306</v>
      </c>
      <c r="Q77" s="53"/>
      <c r="R77" s="56">
        <v>45869</v>
      </c>
      <c r="S77" s="53" t="s">
        <v>59</v>
      </c>
      <c r="T77" s="53" t="s">
        <v>307</v>
      </c>
      <c r="U77" s="53" t="s">
        <v>33</v>
      </c>
      <c r="V77" s="53" t="s">
        <v>38</v>
      </c>
      <c r="W77" s="89">
        <v>171012025000047</v>
      </c>
      <c r="X77" s="10"/>
    </row>
    <row r="78" spans="1:24" s="11" customFormat="1" ht="15" customHeight="1" x14ac:dyDescent="0.25">
      <c r="A78" s="65"/>
      <c r="B78" s="48">
        <v>66.099999999999994</v>
      </c>
      <c r="C78" s="48" t="s">
        <v>25</v>
      </c>
      <c r="D78" s="49" t="s">
        <v>26</v>
      </c>
      <c r="E78" s="49">
        <v>3</v>
      </c>
      <c r="F78" s="48" t="s">
        <v>96</v>
      </c>
      <c r="G78" s="50" t="s">
        <v>28</v>
      </c>
      <c r="H78" s="51" t="s">
        <v>308</v>
      </c>
      <c r="I78" s="85">
        <f>4431867.88-1433808</f>
        <v>2998059.88</v>
      </c>
      <c r="J78" s="51" t="s">
        <v>309</v>
      </c>
      <c r="K78" s="49" t="s">
        <v>310</v>
      </c>
      <c r="L78" s="49" t="s">
        <v>32</v>
      </c>
      <c r="M78" s="49" t="s">
        <v>33</v>
      </c>
      <c r="N78" s="49" t="s">
        <v>34</v>
      </c>
      <c r="O78" s="49" t="s">
        <v>71</v>
      </c>
      <c r="P78" s="49" t="s">
        <v>311</v>
      </c>
      <c r="Q78" s="48" t="s">
        <v>312</v>
      </c>
      <c r="R78" s="83"/>
      <c r="S78" s="49" t="s">
        <v>39</v>
      </c>
      <c r="T78" s="48" t="s">
        <v>103</v>
      </c>
      <c r="U78" s="49" t="s">
        <v>33</v>
      </c>
      <c r="V78" s="49" t="s">
        <v>38</v>
      </c>
      <c r="W78" s="90">
        <v>171012025000061</v>
      </c>
      <c r="X78" s="10"/>
    </row>
    <row r="79" spans="1:24" s="11" customFormat="1" ht="15" customHeight="1" x14ac:dyDescent="0.25">
      <c r="A79" s="65"/>
      <c r="B79" s="52">
        <v>66.2</v>
      </c>
      <c r="C79" s="52" t="s">
        <v>25</v>
      </c>
      <c r="D79" s="53" t="s">
        <v>26</v>
      </c>
      <c r="E79" s="53">
        <v>3</v>
      </c>
      <c r="F79" s="52" t="s">
        <v>96</v>
      </c>
      <c r="G79" s="54" t="s">
        <v>28</v>
      </c>
      <c r="H79" s="55" t="s">
        <v>308</v>
      </c>
      <c r="I79" s="84">
        <f>11998839.24*10/12-148254-2283806.75947712+1433808</f>
        <v>9000779.9405228812</v>
      </c>
      <c r="J79" s="55" t="s">
        <v>309</v>
      </c>
      <c r="K79" s="53" t="s">
        <v>310</v>
      </c>
      <c r="L79" s="53" t="s">
        <v>32</v>
      </c>
      <c r="M79" s="53" t="s">
        <v>33</v>
      </c>
      <c r="N79" s="53" t="s">
        <v>34</v>
      </c>
      <c r="O79" s="53" t="s">
        <v>46</v>
      </c>
      <c r="P79" s="53" t="s">
        <v>313</v>
      </c>
      <c r="Q79" s="99" t="s">
        <v>1070</v>
      </c>
      <c r="R79" s="56">
        <v>45790</v>
      </c>
      <c r="S79" s="53" t="s">
        <v>39</v>
      </c>
      <c r="T79" s="53" t="s">
        <v>103</v>
      </c>
      <c r="U79" s="53" t="s">
        <v>33</v>
      </c>
      <c r="V79" s="53" t="s">
        <v>38</v>
      </c>
      <c r="W79" s="89">
        <v>171012025000061</v>
      </c>
      <c r="X79" s="10"/>
    </row>
    <row r="80" spans="1:24" s="11" customFormat="1" ht="15" customHeight="1" x14ac:dyDescent="0.25">
      <c r="A80" s="65"/>
      <c r="B80" s="48">
        <v>67</v>
      </c>
      <c r="C80" s="48" t="s">
        <v>25</v>
      </c>
      <c r="D80" s="49" t="s">
        <v>26</v>
      </c>
      <c r="E80" s="49">
        <v>3</v>
      </c>
      <c r="F80" s="48" t="s">
        <v>96</v>
      </c>
      <c r="G80" s="50" t="s">
        <v>28</v>
      </c>
      <c r="H80" s="51" t="s">
        <v>314</v>
      </c>
      <c r="I80" s="85">
        <v>3900000</v>
      </c>
      <c r="J80" s="51" t="s">
        <v>315</v>
      </c>
      <c r="K80" s="49" t="s">
        <v>310</v>
      </c>
      <c r="L80" s="49" t="s">
        <v>32</v>
      </c>
      <c r="M80" s="49" t="s">
        <v>33</v>
      </c>
      <c r="N80" s="49" t="s">
        <v>34</v>
      </c>
      <c r="O80" s="49" t="s">
        <v>35</v>
      </c>
      <c r="P80" s="49" t="s">
        <v>316</v>
      </c>
      <c r="Q80" s="48" t="s">
        <v>317</v>
      </c>
      <c r="R80" s="57" t="s">
        <v>38</v>
      </c>
      <c r="S80" s="49" t="s">
        <v>116</v>
      </c>
      <c r="T80" s="48" t="s">
        <v>103</v>
      </c>
      <c r="U80" s="49" t="s">
        <v>33</v>
      </c>
      <c r="V80" s="49" t="s">
        <v>38</v>
      </c>
      <c r="W80" s="90">
        <v>171012025000050</v>
      </c>
      <c r="X80" s="10"/>
    </row>
    <row r="81" spans="1:24" s="11" customFormat="1" ht="15" customHeight="1" x14ac:dyDescent="0.25">
      <c r="A81" s="65"/>
      <c r="B81" s="52">
        <v>68.099999999999994</v>
      </c>
      <c r="C81" s="52" t="s">
        <v>25</v>
      </c>
      <c r="D81" s="53" t="s">
        <v>26</v>
      </c>
      <c r="E81" s="53">
        <v>3</v>
      </c>
      <c r="F81" s="52" t="s">
        <v>318</v>
      </c>
      <c r="G81" s="54" t="s">
        <v>28</v>
      </c>
      <c r="H81" s="55" t="s">
        <v>319</v>
      </c>
      <c r="I81" s="84">
        <f>2293150*8/12</f>
        <v>1528766.6666666667</v>
      </c>
      <c r="J81" s="55" t="s">
        <v>320</v>
      </c>
      <c r="K81" s="53" t="s">
        <v>310</v>
      </c>
      <c r="L81" s="53" t="s">
        <v>32</v>
      </c>
      <c r="M81" s="53" t="s">
        <v>33</v>
      </c>
      <c r="N81" s="53" t="s">
        <v>34</v>
      </c>
      <c r="O81" s="53" t="s">
        <v>35</v>
      </c>
      <c r="P81" s="53" t="s">
        <v>321</v>
      </c>
      <c r="Q81" s="53" t="s">
        <v>322</v>
      </c>
      <c r="R81" s="56" t="s">
        <v>38</v>
      </c>
      <c r="S81" s="53" t="s">
        <v>116</v>
      </c>
      <c r="T81" s="53" t="s">
        <v>323</v>
      </c>
      <c r="U81" s="53" t="s">
        <v>33</v>
      </c>
      <c r="V81" s="53" t="s">
        <v>38</v>
      </c>
      <c r="W81" s="89">
        <v>171012025000056</v>
      </c>
      <c r="X81" s="10"/>
    </row>
    <row r="82" spans="1:24" s="11" customFormat="1" ht="15" customHeight="1" x14ac:dyDescent="0.25">
      <c r="A82" s="65"/>
      <c r="B82" s="48">
        <v>68.2</v>
      </c>
      <c r="C82" s="48" t="s">
        <v>25</v>
      </c>
      <c r="D82" s="49" t="s">
        <v>26</v>
      </c>
      <c r="E82" s="49">
        <v>3</v>
      </c>
      <c r="F82" s="48" t="s">
        <v>318</v>
      </c>
      <c r="G82" s="50" t="s">
        <v>28</v>
      </c>
      <c r="H82" s="51" t="s">
        <v>319</v>
      </c>
      <c r="I82" s="85">
        <f>2293150*4/12</f>
        <v>764383.33333333337</v>
      </c>
      <c r="J82" s="51" t="s">
        <v>320</v>
      </c>
      <c r="K82" s="49" t="s">
        <v>310</v>
      </c>
      <c r="L82" s="49" t="s">
        <v>32</v>
      </c>
      <c r="M82" s="49" t="s">
        <v>33</v>
      </c>
      <c r="N82" s="49" t="s">
        <v>34</v>
      </c>
      <c r="O82" s="49" t="s">
        <v>46</v>
      </c>
      <c r="P82" s="49" t="s">
        <v>324</v>
      </c>
      <c r="Q82" s="48"/>
      <c r="R82" s="57">
        <v>45901</v>
      </c>
      <c r="S82" s="49" t="s">
        <v>116</v>
      </c>
      <c r="T82" s="48" t="s">
        <v>323</v>
      </c>
      <c r="U82" s="49" t="s">
        <v>33</v>
      </c>
      <c r="V82" s="49" t="s">
        <v>38</v>
      </c>
      <c r="W82" s="90">
        <v>171012025000056</v>
      </c>
      <c r="X82" s="10"/>
    </row>
    <row r="83" spans="1:24" s="11" customFormat="1" ht="15" customHeight="1" x14ac:dyDescent="0.25">
      <c r="A83" s="65"/>
      <c r="B83" s="52">
        <v>69.099999999999994</v>
      </c>
      <c r="C83" s="52" t="s">
        <v>25</v>
      </c>
      <c r="D83" s="53" t="s">
        <v>26</v>
      </c>
      <c r="E83" s="53">
        <v>3</v>
      </c>
      <c r="F83" s="52" t="s">
        <v>325</v>
      </c>
      <c r="G83" s="54" t="s">
        <v>28</v>
      </c>
      <c r="H83" s="55" t="s">
        <v>326</v>
      </c>
      <c r="I83" s="84">
        <f>1231000-45000-4767</f>
        <v>1181233</v>
      </c>
      <c r="J83" s="55" t="s">
        <v>327</v>
      </c>
      <c r="K83" s="53" t="s">
        <v>310</v>
      </c>
      <c r="L83" s="53" t="s">
        <v>32</v>
      </c>
      <c r="M83" s="53" t="s">
        <v>33</v>
      </c>
      <c r="N83" s="53" t="s">
        <v>34</v>
      </c>
      <c r="O83" s="53" t="s">
        <v>35</v>
      </c>
      <c r="P83" s="53" t="s">
        <v>328</v>
      </c>
      <c r="Q83" s="53" t="s">
        <v>329</v>
      </c>
      <c r="R83" s="56" t="s">
        <v>38</v>
      </c>
      <c r="S83" s="53" t="s">
        <v>116</v>
      </c>
      <c r="T83" s="53" t="s">
        <v>330</v>
      </c>
      <c r="U83" s="53" t="s">
        <v>33</v>
      </c>
      <c r="V83" s="53" t="s">
        <v>38</v>
      </c>
      <c r="W83" s="89">
        <v>171012025000053</v>
      </c>
      <c r="X83" s="10"/>
    </row>
    <row r="84" spans="1:24" s="11" customFormat="1" ht="15" customHeight="1" x14ac:dyDescent="0.25">
      <c r="A84" s="65"/>
      <c r="B84" s="48">
        <v>69.2</v>
      </c>
      <c r="C84" s="48" t="s">
        <v>25</v>
      </c>
      <c r="D84" s="49" t="s">
        <v>26</v>
      </c>
      <c r="E84" s="49">
        <v>3</v>
      </c>
      <c r="F84" s="48" t="s">
        <v>325</v>
      </c>
      <c r="G84" s="50" t="s">
        <v>28</v>
      </c>
      <c r="H84" s="51" t="s">
        <v>326</v>
      </c>
      <c r="I84" s="85">
        <v>1231000</v>
      </c>
      <c r="J84" s="51" t="s">
        <v>327</v>
      </c>
      <c r="K84" s="49" t="s">
        <v>310</v>
      </c>
      <c r="L84" s="49" t="s">
        <v>32</v>
      </c>
      <c r="M84" s="49" t="s">
        <v>33</v>
      </c>
      <c r="N84" s="49" t="s">
        <v>34</v>
      </c>
      <c r="O84" s="49" t="s">
        <v>46</v>
      </c>
      <c r="P84" s="49" t="s">
        <v>331</v>
      </c>
      <c r="Q84" s="48"/>
      <c r="R84" s="57">
        <v>45825</v>
      </c>
      <c r="S84" s="49" t="s">
        <v>116</v>
      </c>
      <c r="T84" s="48" t="s">
        <v>330</v>
      </c>
      <c r="U84" s="49" t="s">
        <v>33</v>
      </c>
      <c r="V84" s="49" t="s">
        <v>38</v>
      </c>
      <c r="W84" s="90">
        <v>171012025000053</v>
      </c>
      <c r="X84" s="10"/>
    </row>
    <row r="85" spans="1:24" s="11" customFormat="1" ht="15" customHeight="1" x14ac:dyDescent="0.25">
      <c r="A85" s="65"/>
      <c r="B85" s="52">
        <v>70</v>
      </c>
      <c r="C85" s="52" t="s">
        <v>25</v>
      </c>
      <c r="D85" s="53" t="s">
        <v>26</v>
      </c>
      <c r="E85" s="53">
        <v>3</v>
      </c>
      <c r="F85" s="52" t="s">
        <v>104</v>
      </c>
      <c r="G85" s="54" t="s">
        <v>28</v>
      </c>
      <c r="H85" s="55" t="s">
        <v>332</v>
      </c>
      <c r="I85" s="84">
        <v>700000</v>
      </c>
      <c r="J85" s="55" t="s">
        <v>333</v>
      </c>
      <c r="K85" s="53" t="s">
        <v>310</v>
      </c>
      <c r="L85" s="53" t="s">
        <v>32</v>
      </c>
      <c r="M85" s="53" t="s">
        <v>33</v>
      </c>
      <c r="N85" s="53" t="s">
        <v>34</v>
      </c>
      <c r="O85" s="53" t="s">
        <v>71</v>
      </c>
      <c r="P85" s="53" t="s">
        <v>334</v>
      </c>
      <c r="Q85" s="53" t="s">
        <v>335</v>
      </c>
      <c r="R85" s="56">
        <v>45839</v>
      </c>
      <c r="S85" s="53" t="s">
        <v>59</v>
      </c>
      <c r="T85" s="53" t="s">
        <v>336</v>
      </c>
      <c r="U85" s="53" t="s">
        <v>33</v>
      </c>
      <c r="V85" s="53" t="s">
        <v>38</v>
      </c>
      <c r="W85" s="89">
        <v>171012025000052</v>
      </c>
      <c r="X85" s="10"/>
    </row>
    <row r="86" spans="1:24" s="11" customFormat="1" ht="15" customHeight="1" x14ac:dyDescent="0.25">
      <c r="A86" s="65"/>
      <c r="B86" s="48">
        <v>71.099999999999994</v>
      </c>
      <c r="C86" s="48" t="s">
        <v>25</v>
      </c>
      <c r="D86" s="49" t="s">
        <v>26</v>
      </c>
      <c r="E86" s="49">
        <v>3</v>
      </c>
      <c r="F86" s="48" t="s">
        <v>96</v>
      </c>
      <c r="G86" s="50" t="s">
        <v>28</v>
      </c>
      <c r="H86" s="51" t="s">
        <v>337</v>
      </c>
      <c r="I86" s="85">
        <v>106000</v>
      </c>
      <c r="J86" s="51" t="s">
        <v>338</v>
      </c>
      <c r="K86" s="49" t="s">
        <v>310</v>
      </c>
      <c r="L86" s="49" t="s">
        <v>32</v>
      </c>
      <c r="M86" s="49" t="s">
        <v>33</v>
      </c>
      <c r="N86" s="49" t="s">
        <v>34</v>
      </c>
      <c r="O86" s="49" t="s">
        <v>35</v>
      </c>
      <c r="P86" s="49" t="s">
        <v>339</v>
      </c>
      <c r="Q86" s="48" t="s">
        <v>340</v>
      </c>
      <c r="R86" s="57" t="s">
        <v>38</v>
      </c>
      <c r="S86" s="49" t="s">
        <v>116</v>
      </c>
      <c r="T86" s="48" t="s">
        <v>341</v>
      </c>
      <c r="U86" s="49" t="s">
        <v>33</v>
      </c>
      <c r="V86" s="49" t="s">
        <v>38</v>
      </c>
      <c r="W86" s="90">
        <v>171012025000059</v>
      </c>
      <c r="X86" s="10"/>
    </row>
    <row r="87" spans="1:24" s="11" customFormat="1" ht="15" customHeight="1" x14ac:dyDescent="0.25">
      <c r="A87" s="65"/>
      <c r="B87" s="52">
        <v>71.2</v>
      </c>
      <c r="C87" s="52" t="s">
        <v>25</v>
      </c>
      <c r="D87" s="53" t="s">
        <v>26</v>
      </c>
      <c r="E87" s="53">
        <v>3</v>
      </c>
      <c r="F87" s="52" t="s">
        <v>96</v>
      </c>
      <c r="G87" s="54" t="s">
        <v>28</v>
      </c>
      <c r="H87" s="55" t="s">
        <v>337</v>
      </c>
      <c r="I87" s="95">
        <v>237271.32</v>
      </c>
      <c r="J87" s="55" t="s">
        <v>338</v>
      </c>
      <c r="K87" s="53" t="s">
        <v>310</v>
      </c>
      <c r="L87" s="53" t="s">
        <v>32</v>
      </c>
      <c r="M87" s="53" t="s">
        <v>33</v>
      </c>
      <c r="N87" s="53" t="s">
        <v>34</v>
      </c>
      <c r="O87" s="53" t="s">
        <v>46</v>
      </c>
      <c r="P87" s="53" t="s">
        <v>342</v>
      </c>
      <c r="Q87" s="99" t="s">
        <v>1071</v>
      </c>
      <c r="R87" s="56">
        <v>45760</v>
      </c>
      <c r="S87" s="53" t="s">
        <v>116</v>
      </c>
      <c r="T87" s="53" t="s">
        <v>336</v>
      </c>
      <c r="U87" s="53" t="s">
        <v>33</v>
      </c>
      <c r="V87" s="53" t="s">
        <v>38</v>
      </c>
      <c r="W87" s="89">
        <v>171012025000059</v>
      </c>
      <c r="X87" s="10"/>
    </row>
    <row r="88" spans="1:24" s="11" customFormat="1" ht="15" customHeight="1" x14ac:dyDescent="0.25">
      <c r="A88" s="65"/>
      <c r="B88" s="48">
        <v>73</v>
      </c>
      <c r="C88" s="48" t="s">
        <v>25</v>
      </c>
      <c r="D88" s="49" t="s">
        <v>26</v>
      </c>
      <c r="E88" s="49">
        <v>3</v>
      </c>
      <c r="F88" s="48" t="s">
        <v>343</v>
      </c>
      <c r="G88" s="50" t="s">
        <v>28</v>
      </c>
      <c r="H88" s="51" t="s">
        <v>344</v>
      </c>
      <c r="I88" s="85">
        <v>217140</v>
      </c>
      <c r="J88" s="51" t="s">
        <v>345</v>
      </c>
      <c r="K88" s="49" t="s">
        <v>310</v>
      </c>
      <c r="L88" s="49" t="s">
        <v>32</v>
      </c>
      <c r="M88" s="49" t="s">
        <v>33</v>
      </c>
      <c r="N88" s="49" t="s">
        <v>34</v>
      </c>
      <c r="O88" s="49" t="s">
        <v>71</v>
      </c>
      <c r="P88" s="49" t="s">
        <v>346</v>
      </c>
      <c r="Q88" s="48"/>
      <c r="R88" s="57">
        <v>45787</v>
      </c>
      <c r="S88" s="49" t="s">
        <v>59</v>
      </c>
      <c r="T88" s="48" t="s">
        <v>341</v>
      </c>
      <c r="U88" s="49" t="s">
        <v>33</v>
      </c>
      <c r="V88" s="49" t="s">
        <v>38</v>
      </c>
      <c r="W88" s="90">
        <v>171012025000057</v>
      </c>
      <c r="X88" s="10"/>
    </row>
    <row r="89" spans="1:24" s="11" customFormat="1" ht="15" customHeight="1" x14ac:dyDescent="0.25">
      <c r="A89" s="65"/>
      <c r="B89" s="52">
        <v>74.099999999999994</v>
      </c>
      <c r="C89" s="52" t="s">
        <v>25</v>
      </c>
      <c r="D89" s="53" t="s">
        <v>26</v>
      </c>
      <c r="E89" s="53">
        <v>3</v>
      </c>
      <c r="F89" s="52" t="s">
        <v>347</v>
      </c>
      <c r="G89" s="54" t="s">
        <v>28</v>
      </c>
      <c r="H89" s="55" t="s">
        <v>348</v>
      </c>
      <c r="I89" s="84">
        <v>79509.23</v>
      </c>
      <c r="J89" s="55" t="s">
        <v>349</v>
      </c>
      <c r="K89" s="53" t="s">
        <v>310</v>
      </c>
      <c r="L89" s="53" t="s">
        <v>32</v>
      </c>
      <c r="M89" s="53" t="s">
        <v>33</v>
      </c>
      <c r="N89" s="53" t="s">
        <v>34</v>
      </c>
      <c r="O89" s="53" t="s">
        <v>35</v>
      </c>
      <c r="P89" s="53" t="s">
        <v>350</v>
      </c>
      <c r="Q89" s="53" t="s">
        <v>351</v>
      </c>
      <c r="R89" s="56" t="s">
        <v>38</v>
      </c>
      <c r="S89" s="53" t="s">
        <v>116</v>
      </c>
      <c r="T89" s="53" t="s">
        <v>352</v>
      </c>
      <c r="U89" s="53" t="s">
        <v>33</v>
      </c>
      <c r="V89" s="53" t="s">
        <v>38</v>
      </c>
      <c r="W89" s="89">
        <v>171012025000058</v>
      </c>
      <c r="X89" s="10"/>
    </row>
    <row r="90" spans="1:24" s="11" customFormat="1" ht="15" customHeight="1" x14ac:dyDescent="0.25">
      <c r="A90" s="65"/>
      <c r="B90" s="48">
        <v>74.2</v>
      </c>
      <c r="C90" s="48" t="s">
        <v>25</v>
      </c>
      <c r="D90" s="49" t="s">
        <v>26</v>
      </c>
      <c r="E90" s="49">
        <v>3</v>
      </c>
      <c r="F90" s="48" t="s">
        <v>347</v>
      </c>
      <c r="G90" s="50" t="s">
        <v>28</v>
      </c>
      <c r="H90" s="51" t="s">
        <v>348</v>
      </c>
      <c r="I90" s="85">
        <v>39754.61</v>
      </c>
      <c r="J90" s="51" t="s">
        <v>349</v>
      </c>
      <c r="K90" s="49" t="s">
        <v>310</v>
      </c>
      <c r="L90" s="49" t="s">
        <v>32</v>
      </c>
      <c r="M90" s="49" t="s">
        <v>33</v>
      </c>
      <c r="N90" s="49" t="s">
        <v>34</v>
      </c>
      <c r="O90" s="49" t="s">
        <v>46</v>
      </c>
      <c r="P90" s="49" t="s">
        <v>353</v>
      </c>
      <c r="Q90" s="48"/>
      <c r="R90" s="57">
        <v>45883</v>
      </c>
      <c r="S90" s="49" t="s">
        <v>116</v>
      </c>
      <c r="T90" s="48" t="s">
        <v>352</v>
      </c>
      <c r="U90" s="49" t="s">
        <v>33</v>
      </c>
      <c r="V90" s="49" t="s">
        <v>38</v>
      </c>
      <c r="W90" s="90">
        <v>171012025000058</v>
      </c>
      <c r="X90" s="10"/>
    </row>
    <row r="91" spans="1:24" s="11" customFormat="1" ht="15" customHeight="1" x14ac:dyDescent="0.25">
      <c r="A91" s="65"/>
      <c r="B91" s="52">
        <v>75.099999999999994</v>
      </c>
      <c r="C91" s="52" t="s">
        <v>25</v>
      </c>
      <c r="D91" s="53" t="s">
        <v>26</v>
      </c>
      <c r="E91" s="53">
        <v>3</v>
      </c>
      <c r="F91" s="52" t="s">
        <v>347</v>
      </c>
      <c r="G91" s="54" t="s">
        <v>28</v>
      </c>
      <c r="H91" s="55" t="s">
        <v>354</v>
      </c>
      <c r="I91" s="84">
        <v>2348.2199999999998</v>
      </c>
      <c r="J91" s="55" t="s">
        <v>355</v>
      </c>
      <c r="K91" s="53" t="s">
        <v>310</v>
      </c>
      <c r="L91" s="53" t="s">
        <v>32</v>
      </c>
      <c r="M91" s="53" t="s">
        <v>33</v>
      </c>
      <c r="N91" s="53" t="s">
        <v>34</v>
      </c>
      <c r="O91" s="53" t="s">
        <v>71</v>
      </c>
      <c r="P91" s="53" t="s">
        <v>356</v>
      </c>
      <c r="Q91" s="53" t="s">
        <v>357</v>
      </c>
      <c r="R91" s="56">
        <v>45752</v>
      </c>
      <c r="S91" s="53" t="s">
        <v>116</v>
      </c>
      <c r="T91" s="53" t="s">
        <v>358</v>
      </c>
      <c r="U91" s="53" t="s">
        <v>33</v>
      </c>
      <c r="V91" s="53" t="s">
        <v>38</v>
      </c>
      <c r="W91" s="89">
        <v>171012025000060</v>
      </c>
      <c r="X91" s="10"/>
    </row>
    <row r="92" spans="1:24" s="11" customFormat="1" ht="15" customHeight="1" x14ac:dyDescent="0.25">
      <c r="A92" s="65"/>
      <c r="B92" s="48">
        <v>75.2</v>
      </c>
      <c r="C92" s="48" t="s">
        <v>25</v>
      </c>
      <c r="D92" s="49" t="s">
        <v>26</v>
      </c>
      <c r="E92" s="49">
        <v>3</v>
      </c>
      <c r="F92" s="48" t="s">
        <v>347</v>
      </c>
      <c r="G92" s="50" t="s">
        <v>28</v>
      </c>
      <c r="H92" s="51" t="s">
        <v>354</v>
      </c>
      <c r="I92" s="85">
        <v>35914.07</v>
      </c>
      <c r="J92" s="51" t="s">
        <v>355</v>
      </c>
      <c r="K92" s="49" t="s">
        <v>310</v>
      </c>
      <c r="L92" s="49" t="s">
        <v>32</v>
      </c>
      <c r="M92" s="49" t="s">
        <v>33</v>
      </c>
      <c r="N92" s="49" t="s">
        <v>34</v>
      </c>
      <c r="O92" s="49" t="s">
        <v>71</v>
      </c>
      <c r="P92" s="49" t="s">
        <v>359</v>
      </c>
      <c r="Q92" s="48" t="s">
        <v>360</v>
      </c>
      <c r="R92" s="57">
        <v>45752</v>
      </c>
      <c r="S92" s="49" t="s">
        <v>116</v>
      </c>
      <c r="T92" s="48" t="s">
        <v>361</v>
      </c>
      <c r="U92" s="49" t="s">
        <v>33</v>
      </c>
      <c r="V92" s="49" t="s">
        <v>38</v>
      </c>
      <c r="W92" s="90">
        <v>171012025000060</v>
      </c>
      <c r="X92" s="10"/>
    </row>
    <row r="93" spans="1:24" s="11" customFormat="1" ht="15" customHeight="1" x14ac:dyDescent="0.25">
      <c r="A93" s="65"/>
      <c r="B93" s="52">
        <v>76</v>
      </c>
      <c r="C93" s="52" t="s">
        <v>25</v>
      </c>
      <c r="D93" s="53" t="s">
        <v>26</v>
      </c>
      <c r="E93" s="53">
        <v>3</v>
      </c>
      <c r="F93" s="52" t="s">
        <v>362</v>
      </c>
      <c r="G93" s="54" t="s">
        <v>28</v>
      </c>
      <c r="H93" s="55" t="s">
        <v>363</v>
      </c>
      <c r="I93" s="84">
        <v>15160.76</v>
      </c>
      <c r="J93" s="55" t="s">
        <v>364</v>
      </c>
      <c r="K93" s="53" t="s">
        <v>310</v>
      </c>
      <c r="L93" s="53" t="s">
        <v>32</v>
      </c>
      <c r="M93" s="53" t="s">
        <v>33</v>
      </c>
      <c r="N93" s="53" t="s">
        <v>33</v>
      </c>
      <c r="O93" s="53" t="s">
        <v>71</v>
      </c>
      <c r="P93" s="53" t="s">
        <v>365</v>
      </c>
      <c r="Q93" s="53" t="s">
        <v>366</v>
      </c>
      <c r="R93" s="56">
        <v>45929</v>
      </c>
      <c r="S93" s="53" t="s">
        <v>59</v>
      </c>
      <c r="T93" s="53" t="s">
        <v>367</v>
      </c>
      <c r="U93" s="53" t="s">
        <v>34</v>
      </c>
      <c r="V93" s="53" t="s">
        <v>34</v>
      </c>
      <c r="W93" s="89">
        <v>171012025000054</v>
      </c>
      <c r="X93" s="10"/>
    </row>
    <row r="94" spans="1:24" s="11" customFormat="1" ht="15" customHeight="1" x14ac:dyDescent="0.25">
      <c r="A94" s="65"/>
      <c r="B94" s="48">
        <v>77</v>
      </c>
      <c r="C94" s="48" t="s">
        <v>25</v>
      </c>
      <c r="D94" s="49" t="s">
        <v>26</v>
      </c>
      <c r="E94" s="49">
        <v>3</v>
      </c>
      <c r="F94" s="48" t="s">
        <v>368</v>
      </c>
      <c r="G94" s="50" t="s">
        <v>28</v>
      </c>
      <c r="H94" s="51" t="s">
        <v>369</v>
      </c>
      <c r="I94" s="85">
        <v>9000</v>
      </c>
      <c r="J94" s="51" t="s">
        <v>370</v>
      </c>
      <c r="K94" s="49" t="s">
        <v>310</v>
      </c>
      <c r="L94" s="49" t="s">
        <v>32</v>
      </c>
      <c r="M94" s="49" t="s">
        <v>33</v>
      </c>
      <c r="N94" s="49" t="s">
        <v>34</v>
      </c>
      <c r="O94" s="49" t="s">
        <v>66</v>
      </c>
      <c r="P94" s="99" t="s">
        <v>371</v>
      </c>
      <c r="Q94" s="48"/>
      <c r="R94" s="57">
        <v>45688</v>
      </c>
      <c r="S94" s="49" t="s">
        <v>59</v>
      </c>
      <c r="T94" s="48" t="s">
        <v>372</v>
      </c>
      <c r="U94" s="49" t="s">
        <v>34</v>
      </c>
      <c r="V94" s="76" t="s">
        <v>68</v>
      </c>
      <c r="W94" s="90">
        <v>171012025000049</v>
      </c>
      <c r="X94" s="10"/>
    </row>
    <row r="95" spans="1:24" s="11" customFormat="1" ht="15" customHeight="1" x14ac:dyDescent="0.25">
      <c r="A95" s="65"/>
      <c r="B95" s="52">
        <v>78</v>
      </c>
      <c r="C95" s="52" t="s">
        <v>25</v>
      </c>
      <c r="D95" s="53" t="s">
        <v>26</v>
      </c>
      <c r="E95" s="53">
        <v>3</v>
      </c>
      <c r="F95" s="52" t="s">
        <v>373</v>
      </c>
      <c r="G95" s="54" t="s">
        <v>28</v>
      </c>
      <c r="H95" s="55" t="s">
        <v>374</v>
      </c>
      <c r="I95" s="84">
        <v>12133.44</v>
      </c>
      <c r="J95" s="55" t="s">
        <v>375</v>
      </c>
      <c r="K95" s="53" t="s">
        <v>310</v>
      </c>
      <c r="L95" s="53" t="s">
        <v>32</v>
      </c>
      <c r="M95" s="53" t="s">
        <v>33</v>
      </c>
      <c r="N95" s="53" t="s">
        <v>33</v>
      </c>
      <c r="O95" s="53" t="s">
        <v>71</v>
      </c>
      <c r="P95" s="53" t="s">
        <v>376</v>
      </c>
      <c r="Q95" s="53" t="s">
        <v>377</v>
      </c>
      <c r="R95" s="56">
        <v>45709</v>
      </c>
      <c r="S95" s="53" t="s">
        <v>59</v>
      </c>
      <c r="T95" s="53" t="s">
        <v>378</v>
      </c>
      <c r="U95" s="53" t="s">
        <v>33</v>
      </c>
      <c r="V95" s="53" t="s">
        <v>38</v>
      </c>
      <c r="W95" s="89">
        <v>171012025000051</v>
      </c>
      <c r="X95" s="10"/>
    </row>
    <row r="96" spans="1:24" s="11" customFormat="1" ht="15" customHeight="1" x14ac:dyDescent="0.25">
      <c r="A96" s="65"/>
      <c r="B96" s="48">
        <v>79.099999999999994</v>
      </c>
      <c r="C96" s="48" t="s">
        <v>25</v>
      </c>
      <c r="D96" s="49" t="s">
        <v>26</v>
      </c>
      <c r="E96" s="49">
        <v>3</v>
      </c>
      <c r="F96" s="48" t="s">
        <v>379</v>
      </c>
      <c r="G96" s="50" t="s">
        <v>28</v>
      </c>
      <c r="H96" s="51" t="s">
        <v>380</v>
      </c>
      <c r="I96" s="85">
        <f>2678.72*3/12</f>
        <v>669.68</v>
      </c>
      <c r="J96" s="51" t="s">
        <v>381</v>
      </c>
      <c r="K96" s="49" t="s">
        <v>310</v>
      </c>
      <c r="L96" s="49" t="s">
        <v>32</v>
      </c>
      <c r="M96" s="49" t="s">
        <v>33</v>
      </c>
      <c r="N96" s="49" t="s">
        <v>33</v>
      </c>
      <c r="O96" s="49" t="s">
        <v>35</v>
      </c>
      <c r="P96" s="49" t="s">
        <v>382</v>
      </c>
      <c r="Q96" s="48" t="s">
        <v>383</v>
      </c>
      <c r="R96" s="57" t="s">
        <v>38</v>
      </c>
      <c r="S96" s="49" t="s">
        <v>59</v>
      </c>
      <c r="T96" s="48" t="s">
        <v>378</v>
      </c>
      <c r="U96" s="49" t="s">
        <v>34</v>
      </c>
      <c r="V96" s="49" t="s">
        <v>34</v>
      </c>
      <c r="W96" s="90">
        <v>171012025000055</v>
      </c>
      <c r="X96" s="10"/>
    </row>
    <row r="97" spans="1:24" s="11" customFormat="1" ht="15" customHeight="1" x14ac:dyDescent="0.25">
      <c r="A97" s="65"/>
      <c r="B97" s="52">
        <v>79.2</v>
      </c>
      <c r="C97" s="52" t="s">
        <v>25</v>
      </c>
      <c r="D97" s="53" t="s">
        <v>26</v>
      </c>
      <c r="E97" s="53">
        <v>3</v>
      </c>
      <c r="F97" s="52" t="s">
        <v>379</v>
      </c>
      <c r="G97" s="54" t="s">
        <v>28</v>
      </c>
      <c r="H97" s="55" t="s">
        <v>380</v>
      </c>
      <c r="I97" s="84">
        <v>4450</v>
      </c>
      <c r="J97" s="55" t="s">
        <v>381</v>
      </c>
      <c r="K97" s="53" t="s">
        <v>310</v>
      </c>
      <c r="L97" s="53" t="s">
        <v>32</v>
      </c>
      <c r="M97" s="53" t="s">
        <v>33</v>
      </c>
      <c r="N97" s="53" t="s">
        <v>33</v>
      </c>
      <c r="O97" s="53" t="s">
        <v>66</v>
      </c>
      <c r="P97" s="53" t="s">
        <v>384</v>
      </c>
      <c r="Q97" s="53"/>
      <c r="R97" s="56">
        <v>45735</v>
      </c>
      <c r="S97" s="53" t="s">
        <v>59</v>
      </c>
      <c r="T97" s="53" t="s">
        <v>378</v>
      </c>
      <c r="U97" s="53" t="s">
        <v>34</v>
      </c>
      <c r="V97" s="53" t="s">
        <v>34</v>
      </c>
      <c r="W97" s="89">
        <v>171012025000055</v>
      </c>
      <c r="X97" s="10"/>
    </row>
    <row r="98" spans="1:24" s="11" customFormat="1" ht="15" customHeight="1" x14ac:dyDescent="0.25">
      <c r="A98" s="65"/>
      <c r="B98" s="48">
        <v>80</v>
      </c>
      <c r="C98" s="48" t="s">
        <v>25</v>
      </c>
      <c r="D98" s="49" t="s">
        <v>26</v>
      </c>
      <c r="E98" s="49">
        <v>3</v>
      </c>
      <c r="F98" s="48" t="s">
        <v>96</v>
      </c>
      <c r="G98" s="50" t="s">
        <v>28</v>
      </c>
      <c r="H98" s="51" t="s">
        <v>385</v>
      </c>
      <c r="I98" s="85">
        <v>5045619.7019999996</v>
      </c>
      <c r="J98" s="51" t="s">
        <v>386</v>
      </c>
      <c r="K98" s="49" t="s">
        <v>387</v>
      </c>
      <c r="L98" s="49" t="s">
        <v>32</v>
      </c>
      <c r="M98" s="49" t="s">
        <v>33</v>
      </c>
      <c r="N98" s="49" t="s">
        <v>34</v>
      </c>
      <c r="O98" s="49" t="s">
        <v>71</v>
      </c>
      <c r="P98" s="49" t="s">
        <v>388</v>
      </c>
      <c r="Q98" s="48" t="s">
        <v>389</v>
      </c>
      <c r="R98" s="57">
        <v>45778</v>
      </c>
      <c r="S98" s="49" t="s">
        <v>39</v>
      </c>
      <c r="T98" s="48" t="s">
        <v>390</v>
      </c>
      <c r="U98" s="49" t="s">
        <v>33</v>
      </c>
      <c r="V98" s="49" t="s">
        <v>38</v>
      </c>
      <c r="W98" s="90">
        <v>171012025000017</v>
      </c>
      <c r="X98" s="10"/>
    </row>
    <row r="99" spans="1:24" s="11" customFormat="1" ht="15" customHeight="1" x14ac:dyDescent="0.25">
      <c r="A99" s="65"/>
      <c r="B99" s="52">
        <v>81</v>
      </c>
      <c r="C99" s="52" t="s">
        <v>25</v>
      </c>
      <c r="D99" s="53" t="s">
        <v>26</v>
      </c>
      <c r="E99" s="53">
        <v>3</v>
      </c>
      <c r="F99" s="52" t="s">
        <v>391</v>
      </c>
      <c r="G99" s="54" t="s">
        <v>28</v>
      </c>
      <c r="H99" s="55" t="s">
        <v>392</v>
      </c>
      <c r="I99" s="84">
        <v>500000</v>
      </c>
      <c r="J99" s="55" t="s">
        <v>386</v>
      </c>
      <c r="K99" s="53" t="s">
        <v>387</v>
      </c>
      <c r="L99" s="53" t="s">
        <v>32</v>
      </c>
      <c r="M99" s="53" t="s">
        <v>33</v>
      </c>
      <c r="N99" s="53" t="s">
        <v>34</v>
      </c>
      <c r="O99" s="53" t="s">
        <v>71</v>
      </c>
      <c r="P99" s="53" t="s">
        <v>393</v>
      </c>
      <c r="Q99" s="53" t="s">
        <v>394</v>
      </c>
      <c r="R99" s="56">
        <v>45723</v>
      </c>
      <c r="S99" s="53" t="s">
        <v>39</v>
      </c>
      <c r="T99" s="53" t="s">
        <v>395</v>
      </c>
      <c r="U99" s="53" t="s">
        <v>33</v>
      </c>
      <c r="V99" s="53" t="s">
        <v>38</v>
      </c>
      <c r="W99" s="89">
        <v>171012025000020</v>
      </c>
      <c r="X99" s="10"/>
    </row>
    <row r="100" spans="1:24" s="11" customFormat="1" ht="15" customHeight="1" x14ac:dyDescent="0.25">
      <c r="A100" s="65"/>
      <c r="B100" s="48">
        <v>82.1</v>
      </c>
      <c r="C100" s="48" t="s">
        <v>25</v>
      </c>
      <c r="D100" s="49" t="s">
        <v>26</v>
      </c>
      <c r="E100" s="49">
        <v>3</v>
      </c>
      <c r="F100" s="48" t="s">
        <v>75</v>
      </c>
      <c r="G100" s="50" t="s">
        <v>28</v>
      </c>
      <c r="H100" s="51" t="s">
        <v>396</v>
      </c>
      <c r="I100" s="85">
        <v>5000</v>
      </c>
      <c r="J100" s="51" t="s">
        <v>386</v>
      </c>
      <c r="K100" s="49" t="s">
        <v>387</v>
      </c>
      <c r="L100" s="49" t="s">
        <v>32</v>
      </c>
      <c r="M100" s="49" t="s">
        <v>33</v>
      </c>
      <c r="N100" s="49" t="s">
        <v>34</v>
      </c>
      <c r="O100" s="49" t="s">
        <v>35</v>
      </c>
      <c r="P100" s="49" t="s">
        <v>397</v>
      </c>
      <c r="Q100" s="48" t="s">
        <v>398</v>
      </c>
      <c r="R100" s="57" t="s">
        <v>38</v>
      </c>
      <c r="S100" s="49" t="s">
        <v>116</v>
      </c>
      <c r="T100" s="48" t="s">
        <v>399</v>
      </c>
      <c r="U100" s="49" t="s">
        <v>33</v>
      </c>
      <c r="V100" s="49" t="s">
        <v>38</v>
      </c>
      <c r="W100" s="90">
        <v>171012025000021</v>
      </c>
      <c r="X100" s="10"/>
    </row>
    <row r="101" spans="1:24" s="11" customFormat="1" ht="15" customHeight="1" x14ac:dyDescent="0.25">
      <c r="A101" s="65"/>
      <c r="B101" s="52">
        <v>82.2</v>
      </c>
      <c r="C101" s="52" t="s">
        <v>25</v>
      </c>
      <c r="D101" s="53" t="s">
        <v>26</v>
      </c>
      <c r="E101" s="53">
        <v>3</v>
      </c>
      <c r="F101" s="52" t="s">
        <v>75</v>
      </c>
      <c r="G101" s="54" t="s">
        <v>28</v>
      </c>
      <c r="H101" s="55" t="s">
        <v>396</v>
      </c>
      <c r="I101" s="84">
        <f>380000+6810</f>
        <v>386810</v>
      </c>
      <c r="J101" s="55" t="s">
        <v>386</v>
      </c>
      <c r="K101" s="53" t="s">
        <v>387</v>
      </c>
      <c r="L101" s="53" t="s">
        <v>32</v>
      </c>
      <c r="M101" s="53" t="s">
        <v>33</v>
      </c>
      <c r="N101" s="53" t="s">
        <v>34</v>
      </c>
      <c r="O101" s="53" t="s">
        <v>46</v>
      </c>
      <c r="P101" s="53" t="s">
        <v>400</v>
      </c>
      <c r="Q101" s="53" t="s">
        <v>401</v>
      </c>
      <c r="R101" s="56">
        <v>45992</v>
      </c>
      <c r="S101" s="53" t="s">
        <v>116</v>
      </c>
      <c r="T101" s="53" t="s">
        <v>399</v>
      </c>
      <c r="U101" s="53" t="s">
        <v>33</v>
      </c>
      <c r="V101" s="53" t="s">
        <v>38</v>
      </c>
      <c r="W101" s="89">
        <v>171012025000021</v>
      </c>
      <c r="X101" s="10"/>
    </row>
    <row r="102" spans="1:24" s="11" customFormat="1" ht="15" customHeight="1" x14ac:dyDescent="0.25">
      <c r="A102" s="65"/>
      <c r="B102" s="48">
        <v>83</v>
      </c>
      <c r="C102" s="48" t="s">
        <v>25</v>
      </c>
      <c r="D102" s="49" t="s">
        <v>26</v>
      </c>
      <c r="E102" s="49">
        <v>3</v>
      </c>
      <c r="F102" s="48" t="s">
        <v>196</v>
      </c>
      <c r="G102" s="50" t="s">
        <v>28</v>
      </c>
      <c r="H102" s="51" t="s">
        <v>402</v>
      </c>
      <c r="I102" s="93">
        <f>12136.05+4045</f>
        <v>16181.05</v>
      </c>
      <c r="J102" s="51" t="s">
        <v>386</v>
      </c>
      <c r="K102" s="49" t="s">
        <v>387</v>
      </c>
      <c r="L102" s="49" t="s">
        <v>32</v>
      </c>
      <c r="M102" s="49" t="s">
        <v>33</v>
      </c>
      <c r="N102" s="49" t="s">
        <v>34</v>
      </c>
      <c r="O102" s="49" t="s">
        <v>46</v>
      </c>
      <c r="P102" s="49" t="s">
        <v>403</v>
      </c>
      <c r="Q102" s="48" t="s">
        <v>404</v>
      </c>
      <c r="R102" s="57">
        <v>45747</v>
      </c>
      <c r="S102" s="49" t="s">
        <v>116</v>
      </c>
      <c r="T102" s="48" t="s">
        <v>405</v>
      </c>
      <c r="U102" s="49" t="s">
        <v>33</v>
      </c>
      <c r="V102" s="49" t="s">
        <v>38</v>
      </c>
      <c r="W102" s="90">
        <v>171012025000018</v>
      </c>
      <c r="X102" s="10"/>
    </row>
    <row r="103" spans="1:24" s="11" customFormat="1" ht="15" customHeight="1" x14ac:dyDescent="0.25">
      <c r="A103" s="65"/>
      <c r="B103" s="52">
        <v>84</v>
      </c>
      <c r="C103" s="52" t="s">
        <v>25</v>
      </c>
      <c r="D103" s="53" t="s">
        <v>26</v>
      </c>
      <c r="E103" s="53">
        <v>3</v>
      </c>
      <c r="F103" s="52" t="s">
        <v>196</v>
      </c>
      <c r="G103" s="54" t="s">
        <v>28</v>
      </c>
      <c r="H103" s="55" t="s">
        <v>402</v>
      </c>
      <c r="I103" s="84">
        <v>6672.96</v>
      </c>
      <c r="J103" s="55" t="s">
        <v>386</v>
      </c>
      <c r="K103" s="53" t="s">
        <v>387</v>
      </c>
      <c r="L103" s="53" t="s">
        <v>32</v>
      </c>
      <c r="M103" s="53" t="s">
        <v>34</v>
      </c>
      <c r="N103" s="53" t="s">
        <v>34</v>
      </c>
      <c r="O103" s="53" t="s">
        <v>71</v>
      </c>
      <c r="P103" s="53" t="s">
        <v>406</v>
      </c>
      <c r="Q103" s="53" t="s">
        <v>407</v>
      </c>
      <c r="R103" s="56">
        <v>45869</v>
      </c>
      <c r="S103" s="53" t="s">
        <v>116</v>
      </c>
      <c r="T103" s="53" t="s">
        <v>405</v>
      </c>
      <c r="U103" s="53" t="s">
        <v>34</v>
      </c>
      <c r="V103" s="53" t="s">
        <v>34</v>
      </c>
      <c r="W103" s="89">
        <v>171012025000018</v>
      </c>
      <c r="X103" s="10"/>
    </row>
    <row r="104" spans="1:24" s="11" customFormat="1" ht="15" customHeight="1" x14ac:dyDescent="0.25">
      <c r="A104" s="65"/>
      <c r="B104" s="48">
        <v>85</v>
      </c>
      <c r="C104" s="48" t="s">
        <v>25</v>
      </c>
      <c r="D104" s="49" t="s">
        <v>26</v>
      </c>
      <c r="E104" s="49">
        <v>3</v>
      </c>
      <c r="F104" s="48" t="s">
        <v>52</v>
      </c>
      <c r="G104" s="50" t="s">
        <v>28</v>
      </c>
      <c r="H104" s="51" t="s">
        <v>408</v>
      </c>
      <c r="I104" s="85">
        <v>17940</v>
      </c>
      <c r="J104" s="51" t="s">
        <v>386</v>
      </c>
      <c r="K104" s="49" t="s">
        <v>387</v>
      </c>
      <c r="L104" s="49" t="s">
        <v>32</v>
      </c>
      <c r="M104" s="49" t="s">
        <v>34</v>
      </c>
      <c r="N104" s="49" t="s">
        <v>33</v>
      </c>
      <c r="O104" s="49" t="s">
        <v>71</v>
      </c>
      <c r="P104" s="49" t="s">
        <v>409</v>
      </c>
      <c r="Q104" s="48" t="s">
        <v>410</v>
      </c>
      <c r="R104" s="57">
        <v>45904</v>
      </c>
      <c r="S104" s="49" t="s">
        <v>59</v>
      </c>
      <c r="T104" s="48" t="s">
        <v>411</v>
      </c>
      <c r="U104" s="49" t="s">
        <v>34</v>
      </c>
      <c r="V104" s="49" t="s">
        <v>34</v>
      </c>
      <c r="W104" s="90">
        <v>171012025000023</v>
      </c>
      <c r="X104" s="10"/>
    </row>
    <row r="105" spans="1:24" s="11" customFormat="1" ht="15" customHeight="1" x14ac:dyDescent="0.25">
      <c r="A105" s="65"/>
      <c r="B105" s="52"/>
      <c r="C105" s="52"/>
      <c r="D105" s="53"/>
      <c r="E105" s="53"/>
      <c r="F105" s="52"/>
      <c r="G105" s="54"/>
      <c r="H105" s="96" t="s">
        <v>157</v>
      </c>
      <c r="I105" s="84"/>
      <c r="J105" s="55"/>
      <c r="K105" s="53"/>
      <c r="L105" s="53"/>
      <c r="M105" s="53"/>
      <c r="N105" s="53"/>
      <c r="O105" s="53"/>
      <c r="P105" s="53"/>
      <c r="Q105" s="53"/>
      <c r="R105" s="56"/>
      <c r="S105" s="53"/>
      <c r="T105" s="53"/>
      <c r="U105" s="53"/>
      <c r="V105" s="53"/>
      <c r="W105" s="89">
        <v>171012025000024</v>
      </c>
      <c r="X105" s="10"/>
    </row>
    <row r="106" spans="1:24" s="11" customFormat="1" ht="15" customHeight="1" x14ac:dyDescent="0.25">
      <c r="A106" s="65"/>
      <c r="B106" s="48">
        <v>87</v>
      </c>
      <c r="C106" s="48" t="s">
        <v>25</v>
      </c>
      <c r="D106" s="49" t="s">
        <v>26</v>
      </c>
      <c r="E106" s="49">
        <v>3</v>
      </c>
      <c r="F106" s="48" t="s">
        <v>412</v>
      </c>
      <c r="G106" s="50" t="s">
        <v>28</v>
      </c>
      <c r="H106" s="51" t="s">
        <v>413</v>
      </c>
      <c r="I106" s="85">
        <v>5814</v>
      </c>
      <c r="J106" s="51" t="s">
        <v>386</v>
      </c>
      <c r="K106" s="49" t="s">
        <v>387</v>
      </c>
      <c r="L106" s="49" t="s">
        <v>32</v>
      </c>
      <c r="M106" s="49" t="s">
        <v>33</v>
      </c>
      <c r="N106" s="49" t="s">
        <v>34</v>
      </c>
      <c r="O106" s="49" t="s">
        <v>38</v>
      </c>
      <c r="P106" s="49" t="s">
        <v>38</v>
      </c>
      <c r="Q106" s="48" t="s">
        <v>38</v>
      </c>
      <c r="R106" s="57" t="s">
        <v>38</v>
      </c>
      <c r="S106" s="49" t="s">
        <v>59</v>
      </c>
      <c r="T106" s="48" t="s">
        <v>38</v>
      </c>
      <c r="U106" s="49" t="s">
        <v>33</v>
      </c>
      <c r="V106" s="49" t="s">
        <v>38</v>
      </c>
      <c r="W106" s="90">
        <v>171012025000025</v>
      </c>
      <c r="X106" s="10"/>
    </row>
    <row r="107" spans="1:24" s="11" customFormat="1" ht="15" customHeight="1" x14ac:dyDescent="0.25">
      <c r="A107" s="65"/>
      <c r="B107" s="52">
        <v>88</v>
      </c>
      <c r="C107" s="52" t="s">
        <v>25</v>
      </c>
      <c r="D107" s="53" t="s">
        <v>26</v>
      </c>
      <c r="E107" s="53">
        <v>3</v>
      </c>
      <c r="F107" s="52" t="s">
        <v>412</v>
      </c>
      <c r="G107" s="54" t="s">
        <v>28</v>
      </c>
      <c r="H107" s="55" t="s">
        <v>414</v>
      </c>
      <c r="I107" s="84">
        <v>6032</v>
      </c>
      <c r="J107" s="55" t="s">
        <v>386</v>
      </c>
      <c r="K107" s="53" t="s">
        <v>387</v>
      </c>
      <c r="L107" s="53" t="s">
        <v>32</v>
      </c>
      <c r="M107" s="53" t="s">
        <v>33</v>
      </c>
      <c r="N107" s="53" t="s">
        <v>34</v>
      </c>
      <c r="O107" s="53" t="s">
        <v>38</v>
      </c>
      <c r="P107" s="53" t="s">
        <v>415</v>
      </c>
      <c r="Q107" s="53" t="s">
        <v>38</v>
      </c>
      <c r="R107" s="56" t="s">
        <v>38</v>
      </c>
      <c r="S107" s="53" t="s">
        <v>59</v>
      </c>
      <c r="T107" s="53" t="s">
        <v>38</v>
      </c>
      <c r="U107" s="53" t="s">
        <v>33</v>
      </c>
      <c r="V107" s="53" t="s">
        <v>38</v>
      </c>
      <c r="W107" s="89">
        <v>171012025000019</v>
      </c>
      <c r="X107" s="10"/>
    </row>
    <row r="108" spans="1:24" s="11" customFormat="1" ht="15" customHeight="1" x14ac:dyDescent="0.25">
      <c r="A108" s="65"/>
      <c r="B108" s="48">
        <v>89</v>
      </c>
      <c r="C108" s="48" t="s">
        <v>25</v>
      </c>
      <c r="D108" s="49" t="s">
        <v>26</v>
      </c>
      <c r="E108" s="49">
        <v>3</v>
      </c>
      <c r="F108" s="48" t="s">
        <v>416</v>
      </c>
      <c r="G108" s="50" t="s">
        <v>28</v>
      </c>
      <c r="H108" s="51" t="s">
        <v>417</v>
      </c>
      <c r="I108" s="85">
        <v>1413735.04</v>
      </c>
      <c r="J108" s="51" t="s">
        <v>418</v>
      </c>
      <c r="K108" s="49" t="s">
        <v>419</v>
      </c>
      <c r="L108" s="49" t="s">
        <v>420</v>
      </c>
      <c r="M108" s="49" t="s">
        <v>33</v>
      </c>
      <c r="N108" s="49" t="s">
        <v>34</v>
      </c>
      <c r="O108" s="49" t="s">
        <v>38</v>
      </c>
      <c r="P108" s="49" t="s">
        <v>421</v>
      </c>
      <c r="Q108" s="48" t="s">
        <v>38</v>
      </c>
      <c r="R108" s="57" t="s">
        <v>38</v>
      </c>
      <c r="S108" s="49" t="s">
        <v>38</v>
      </c>
      <c r="T108" s="48" t="s">
        <v>38</v>
      </c>
      <c r="U108" s="49" t="s">
        <v>33</v>
      </c>
      <c r="V108" s="49" t="s">
        <v>38</v>
      </c>
      <c r="W108" s="90">
        <v>171012025000062</v>
      </c>
      <c r="X108" s="10"/>
    </row>
    <row r="109" spans="1:24" s="11" customFormat="1" ht="15" customHeight="1" x14ac:dyDescent="0.25">
      <c r="A109" s="65"/>
      <c r="B109" s="52">
        <v>90</v>
      </c>
      <c r="C109" s="52" t="s">
        <v>25</v>
      </c>
      <c r="D109" s="53" t="s">
        <v>26</v>
      </c>
      <c r="E109" s="53">
        <v>3</v>
      </c>
      <c r="F109" s="52" t="s">
        <v>422</v>
      </c>
      <c r="G109" s="54" t="s">
        <v>28</v>
      </c>
      <c r="H109" s="55" t="s">
        <v>423</v>
      </c>
      <c r="I109" s="84">
        <f>1000000/2+191000</f>
        <v>691000</v>
      </c>
      <c r="J109" s="55" t="s">
        <v>424</v>
      </c>
      <c r="K109" s="53" t="s">
        <v>419</v>
      </c>
      <c r="L109" s="53" t="s">
        <v>420</v>
      </c>
      <c r="M109" s="53" t="s">
        <v>33</v>
      </c>
      <c r="N109" s="53" t="s">
        <v>34</v>
      </c>
      <c r="O109" s="53" t="s">
        <v>35</v>
      </c>
      <c r="P109" s="53" t="s">
        <v>425</v>
      </c>
      <c r="Q109" s="53" t="s">
        <v>426</v>
      </c>
      <c r="R109" s="56">
        <v>45839</v>
      </c>
      <c r="S109" s="53" t="s">
        <v>116</v>
      </c>
      <c r="T109" s="53" t="s">
        <v>427</v>
      </c>
      <c r="U109" s="53" t="s">
        <v>33</v>
      </c>
      <c r="V109" s="53" t="s">
        <v>38</v>
      </c>
      <c r="W109" s="89">
        <v>171012025000117</v>
      </c>
      <c r="X109" s="10"/>
    </row>
    <row r="110" spans="1:24" s="11" customFormat="1" ht="15" customHeight="1" x14ac:dyDescent="0.25">
      <c r="A110" s="65"/>
      <c r="B110" s="48">
        <v>91</v>
      </c>
      <c r="C110" s="48" t="s">
        <v>25</v>
      </c>
      <c r="D110" s="49" t="s">
        <v>26</v>
      </c>
      <c r="E110" s="49">
        <v>3</v>
      </c>
      <c r="F110" s="48" t="s">
        <v>422</v>
      </c>
      <c r="G110" s="50" t="s">
        <v>28</v>
      </c>
      <c r="H110" s="51" t="s">
        <v>423</v>
      </c>
      <c r="I110" s="85">
        <f>1000000/2+500000-191000</f>
        <v>809000</v>
      </c>
      <c r="J110" s="51" t="s">
        <v>424</v>
      </c>
      <c r="K110" s="49" t="s">
        <v>419</v>
      </c>
      <c r="L110" s="49" t="s">
        <v>420</v>
      </c>
      <c r="M110" s="49" t="s">
        <v>33</v>
      </c>
      <c r="N110" s="49" t="s">
        <v>34</v>
      </c>
      <c r="O110" s="49" t="s">
        <v>46</v>
      </c>
      <c r="P110" s="49" t="s">
        <v>428</v>
      </c>
      <c r="Q110" s="48"/>
      <c r="R110" s="57">
        <v>45839</v>
      </c>
      <c r="S110" s="49" t="s">
        <v>116</v>
      </c>
      <c r="T110" s="48" t="s">
        <v>427</v>
      </c>
      <c r="U110" s="49" t="s">
        <v>33</v>
      </c>
      <c r="V110" s="49" t="s">
        <v>38</v>
      </c>
      <c r="W110" s="90">
        <v>171012025000117</v>
      </c>
      <c r="X110" s="10"/>
    </row>
    <row r="111" spans="1:24" s="11" customFormat="1" ht="15" customHeight="1" x14ac:dyDescent="0.25">
      <c r="A111" s="65"/>
      <c r="B111" s="52">
        <v>92</v>
      </c>
      <c r="C111" s="52" t="s">
        <v>25</v>
      </c>
      <c r="D111" s="53" t="s">
        <v>26</v>
      </c>
      <c r="E111" s="53">
        <v>3</v>
      </c>
      <c r="F111" s="52" t="s">
        <v>429</v>
      </c>
      <c r="G111" s="54" t="s">
        <v>28</v>
      </c>
      <c r="H111" s="55" t="s">
        <v>430</v>
      </c>
      <c r="I111" s="84">
        <v>257000</v>
      </c>
      <c r="J111" s="55" t="s">
        <v>431</v>
      </c>
      <c r="K111" s="53" t="s">
        <v>419</v>
      </c>
      <c r="L111" s="53" t="s">
        <v>420</v>
      </c>
      <c r="M111" s="53" t="s">
        <v>34</v>
      </c>
      <c r="N111" s="53" t="s">
        <v>33</v>
      </c>
      <c r="O111" s="53" t="s">
        <v>66</v>
      </c>
      <c r="P111" s="53" t="s">
        <v>54</v>
      </c>
      <c r="Q111" s="53"/>
      <c r="R111" s="56">
        <v>45869</v>
      </c>
      <c r="S111" s="53" t="s">
        <v>116</v>
      </c>
      <c r="T111" s="53" t="s">
        <v>38</v>
      </c>
      <c r="U111" s="53" t="s">
        <v>33</v>
      </c>
      <c r="V111" s="53" t="s">
        <v>38</v>
      </c>
      <c r="W111" s="89">
        <v>171012025000119</v>
      </c>
      <c r="X111" s="10"/>
    </row>
    <row r="112" spans="1:24" s="11" customFormat="1" ht="15" customHeight="1" x14ac:dyDescent="0.25">
      <c r="A112" s="65"/>
      <c r="B112" s="48">
        <v>93</v>
      </c>
      <c r="C112" s="48" t="s">
        <v>25</v>
      </c>
      <c r="D112" s="49" t="s">
        <v>26</v>
      </c>
      <c r="E112" s="49">
        <v>3</v>
      </c>
      <c r="F112" s="48" t="s">
        <v>96</v>
      </c>
      <c r="G112" s="50" t="s">
        <v>28</v>
      </c>
      <c r="H112" s="51" t="s">
        <v>432</v>
      </c>
      <c r="I112" s="85">
        <f>81000+138240+146160+725728</f>
        <v>1091128</v>
      </c>
      <c r="J112" s="51" t="s">
        <v>433</v>
      </c>
      <c r="K112" s="49" t="s">
        <v>419</v>
      </c>
      <c r="L112" s="49" t="s">
        <v>420</v>
      </c>
      <c r="M112" s="49" t="s">
        <v>33</v>
      </c>
      <c r="N112" s="49" t="s">
        <v>34</v>
      </c>
      <c r="O112" s="49" t="s">
        <v>38</v>
      </c>
      <c r="P112" s="49" t="s">
        <v>434</v>
      </c>
      <c r="Q112" s="48" t="s">
        <v>38</v>
      </c>
      <c r="R112" s="57" t="s">
        <v>38</v>
      </c>
      <c r="S112" s="49" t="s">
        <v>38</v>
      </c>
      <c r="T112" s="48" t="s">
        <v>103</v>
      </c>
      <c r="U112" s="49" t="s">
        <v>33</v>
      </c>
      <c r="V112" s="49" t="s">
        <v>38</v>
      </c>
      <c r="W112" s="90">
        <v>171012025000118</v>
      </c>
      <c r="X112" s="10"/>
    </row>
    <row r="113" spans="1:24" s="11" customFormat="1" ht="15" customHeight="1" x14ac:dyDescent="0.25">
      <c r="A113" s="65"/>
      <c r="B113" s="52">
        <v>94</v>
      </c>
      <c r="C113" s="52" t="s">
        <v>25</v>
      </c>
      <c r="D113" s="53" t="s">
        <v>435</v>
      </c>
      <c r="E113" s="53">
        <v>3</v>
      </c>
      <c r="F113" s="52" t="s">
        <v>136</v>
      </c>
      <c r="G113" s="54" t="s">
        <v>436</v>
      </c>
      <c r="H113" s="55" t="s">
        <v>437</v>
      </c>
      <c r="I113" s="84">
        <v>1582742.5</v>
      </c>
      <c r="J113" s="55"/>
      <c r="K113" s="53" t="s">
        <v>38</v>
      </c>
      <c r="L113" s="53" t="s">
        <v>438</v>
      </c>
      <c r="M113" s="53" t="s">
        <v>33</v>
      </c>
      <c r="N113" s="53" t="s">
        <v>34</v>
      </c>
      <c r="O113" s="53" t="s">
        <v>71</v>
      </c>
      <c r="P113" s="53" t="s">
        <v>140</v>
      </c>
      <c r="Q113" s="53" t="s">
        <v>141</v>
      </c>
      <c r="R113" s="56">
        <v>45779</v>
      </c>
      <c r="S113" s="53" t="s">
        <v>116</v>
      </c>
      <c r="T113" s="53" t="s">
        <v>142</v>
      </c>
      <c r="U113" s="53" t="s">
        <v>33</v>
      </c>
      <c r="V113" s="53" t="s">
        <v>38</v>
      </c>
      <c r="W113" s="89">
        <v>171012025000146</v>
      </c>
      <c r="X113" s="10"/>
    </row>
    <row r="114" spans="1:24" s="11" customFormat="1" ht="15" customHeight="1" x14ac:dyDescent="0.25">
      <c r="A114" s="65"/>
      <c r="B114" s="48">
        <v>95</v>
      </c>
      <c r="C114" s="48" t="s">
        <v>25</v>
      </c>
      <c r="D114" s="49" t="s">
        <v>435</v>
      </c>
      <c r="E114" s="49">
        <v>3</v>
      </c>
      <c r="F114" s="48" t="s">
        <v>439</v>
      </c>
      <c r="G114" s="50" t="s">
        <v>436</v>
      </c>
      <c r="H114" s="51" t="s">
        <v>133</v>
      </c>
      <c r="I114" s="95">
        <f>3467257.5+600000</f>
        <v>4067257.5</v>
      </c>
      <c r="J114" s="51"/>
      <c r="K114" s="49" t="s">
        <v>38</v>
      </c>
      <c r="L114" s="49" t="s">
        <v>438</v>
      </c>
      <c r="M114" s="49" t="s">
        <v>33</v>
      </c>
      <c r="N114" s="49" t="s">
        <v>34</v>
      </c>
      <c r="O114" s="49" t="s">
        <v>38</v>
      </c>
      <c r="P114" s="49" t="s">
        <v>38</v>
      </c>
      <c r="Q114" s="48" t="s">
        <v>38</v>
      </c>
      <c r="R114" s="57" t="s">
        <v>38</v>
      </c>
      <c r="S114" s="49" t="s">
        <v>38</v>
      </c>
      <c r="T114" s="48" t="s">
        <v>38</v>
      </c>
      <c r="U114" s="49" t="s">
        <v>33</v>
      </c>
      <c r="V114" s="49" t="s">
        <v>38</v>
      </c>
      <c r="W114" s="90">
        <v>171012025000145</v>
      </c>
      <c r="X114" s="10"/>
    </row>
    <row r="115" spans="1:24" s="11" customFormat="1" ht="15" customHeight="1" x14ac:dyDescent="0.25">
      <c r="A115" s="65"/>
      <c r="B115" s="52">
        <v>96.1</v>
      </c>
      <c r="C115" s="52" t="s">
        <v>25</v>
      </c>
      <c r="D115" s="53" t="s">
        <v>440</v>
      </c>
      <c r="E115" s="53">
        <v>3</v>
      </c>
      <c r="F115" s="52" t="s">
        <v>441</v>
      </c>
      <c r="G115" s="54" t="s">
        <v>442</v>
      </c>
      <c r="H115" s="55" t="s">
        <v>443</v>
      </c>
      <c r="I115" s="84">
        <v>5900000</v>
      </c>
      <c r="J115" s="55" t="s">
        <v>444</v>
      </c>
      <c r="K115" s="53" t="s">
        <v>445</v>
      </c>
      <c r="L115" s="53" t="s">
        <v>446</v>
      </c>
      <c r="M115" s="53" t="s">
        <v>33</v>
      </c>
      <c r="N115" s="53" t="s">
        <v>34</v>
      </c>
      <c r="O115" s="53" t="s">
        <v>35</v>
      </c>
      <c r="P115" s="53" t="s">
        <v>447</v>
      </c>
      <c r="Q115" s="53" t="s">
        <v>448</v>
      </c>
      <c r="R115" s="56" t="s">
        <v>38</v>
      </c>
      <c r="S115" s="53" t="s">
        <v>39</v>
      </c>
      <c r="T115" s="53" t="s">
        <v>449</v>
      </c>
      <c r="U115" s="53" t="s">
        <v>33</v>
      </c>
      <c r="V115" s="53" t="s">
        <v>38</v>
      </c>
      <c r="W115" s="89">
        <v>171012025000168</v>
      </c>
      <c r="X115" s="10"/>
    </row>
    <row r="116" spans="1:24" s="11" customFormat="1" ht="15" customHeight="1" x14ac:dyDescent="0.25">
      <c r="A116" s="65"/>
      <c r="B116" s="48">
        <v>96.2</v>
      </c>
      <c r="C116" s="48" t="s">
        <v>25</v>
      </c>
      <c r="D116" s="49" t="s">
        <v>440</v>
      </c>
      <c r="E116" s="49">
        <v>3</v>
      </c>
      <c r="F116" s="48" t="s">
        <v>441</v>
      </c>
      <c r="G116" s="50" t="s">
        <v>442</v>
      </c>
      <c r="H116" s="51" t="s">
        <v>450</v>
      </c>
      <c r="I116" s="85">
        <v>35000</v>
      </c>
      <c r="J116" s="51" t="s">
        <v>444</v>
      </c>
      <c r="K116" s="49" t="s">
        <v>445</v>
      </c>
      <c r="L116" s="49" t="s">
        <v>446</v>
      </c>
      <c r="M116" s="49" t="s">
        <v>33</v>
      </c>
      <c r="N116" s="49" t="s">
        <v>34</v>
      </c>
      <c r="O116" s="49" t="s">
        <v>35</v>
      </c>
      <c r="P116" s="49" t="s">
        <v>447</v>
      </c>
      <c r="Q116" s="48" t="s">
        <v>448</v>
      </c>
      <c r="R116" s="57" t="s">
        <v>38</v>
      </c>
      <c r="S116" s="49" t="s">
        <v>39</v>
      </c>
      <c r="T116" s="48" t="s">
        <v>449</v>
      </c>
      <c r="U116" s="49" t="s">
        <v>33</v>
      </c>
      <c r="V116" s="49" t="s">
        <v>38</v>
      </c>
      <c r="W116" s="100">
        <v>171012025000246</v>
      </c>
      <c r="X116" s="10"/>
    </row>
    <row r="117" spans="1:24" s="11" customFormat="1" ht="15" customHeight="1" x14ac:dyDescent="0.25">
      <c r="A117" s="65"/>
      <c r="B117" s="52">
        <v>97</v>
      </c>
      <c r="C117" s="52" t="s">
        <v>25</v>
      </c>
      <c r="D117" s="53" t="s">
        <v>440</v>
      </c>
      <c r="E117" s="53">
        <v>3</v>
      </c>
      <c r="F117" s="52" t="s">
        <v>451</v>
      </c>
      <c r="G117" s="54" t="s">
        <v>442</v>
      </c>
      <c r="H117" s="55" t="s">
        <v>452</v>
      </c>
      <c r="I117" s="93">
        <v>29505999.960000001</v>
      </c>
      <c r="J117" s="55" t="s">
        <v>453</v>
      </c>
      <c r="K117" s="53" t="s">
        <v>445</v>
      </c>
      <c r="L117" s="53" t="s">
        <v>446</v>
      </c>
      <c r="M117" s="53" t="s">
        <v>33</v>
      </c>
      <c r="N117" s="53" t="s">
        <v>34</v>
      </c>
      <c r="O117" s="53" t="s">
        <v>35</v>
      </c>
      <c r="P117" s="53" t="s">
        <v>454</v>
      </c>
      <c r="Q117" s="53" t="s">
        <v>455</v>
      </c>
      <c r="R117" s="56" t="s">
        <v>38</v>
      </c>
      <c r="S117" s="53" t="s">
        <v>39</v>
      </c>
      <c r="T117" s="53" t="s">
        <v>456</v>
      </c>
      <c r="U117" s="53" t="s">
        <v>33</v>
      </c>
      <c r="V117" s="53" t="s">
        <v>38</v>
      </c>
      <c r="W117" s="89">
        <v>171012025000164</v>
      </c>
      <c r="X117" s="10"/>
    </row>
    <row r="118" spans="1:24" s="11" customFormat="1" ht="15" customHeight="1" x14ac:dyDescent="0.25">
      <c r="A118" s="65"/>
      <c r="B118" s="48">
        <v>98</v>
      </c>
      <c r="C118" s="48" t="s">
        <v>25</v>
      </c>
      <c r="D118" s="49" t="s">
        <v>440</v>
      </c>
      <c r="E118" s="49">
        <v>3</v>
      </c>
      <c r="F118" s="48" t="s">
        <v>441</v>
      </c>
      <c r="G118" s="50" t="s">
        <v>442</v>
      </c>
      <c r="H118" s="51" t="s">
        <v>457</v>
      </c>
      <c r="I118" s="85">
        <f>4512497.72256-0.38</f>
        <v>4512497.3425599998</v>
      </c>
      <c r="J118" s="51" t="s">
        <v>458</v>
      </c>
      <c r="K118" s="49" t="s">
        <v>445</v>
      </c>
      <c r="L118" s="49" t="s">
        <v>446</v>
      </c>
      <c r="M118" s="49" t="s">
        <v>33</v>
      </c>
      <c r="N118" s="49" t="s">
        <v>34</v>
      </c>
      <c r="O118" s="49" t="s">
        <v>35</v>
      </c>
      <c r="P118" s="49" t="s">
        <v>459</v>
      </c>
      <c r="Q118" s="48" t="s">
        <v>460</v>
      </c>
      <c r="R118" s="57" t="s">
        <v>38</v>
      </c>
      <c r="S118" s="49" t="s">
        <v>116</v>
      </c>
      <c r="T118" s="48" t="s">
        <v>461</v>
      </c>
      <c r="U118" s="49" t="s">
        <v>33</v>
      </c>
      <c r="V118" s="49" t="s">
        <v>38</v>
      </c>
      <c r="W118" s="90">
        <v>171012025000206</v>
      </c>
      <c r="X118" s="10"/>
    </row>
    <row r="119" spans="1:24" s="11" customFormat="1" ht="15" customHeight="1" x14ac:dyDescent="0.25">
      <c r="A119" s="65"/>
      <c r="B119" s="52">
        <v>99.1</v>
      </c>
      <c r="C119" s="52" t="s">
        <v>25</v>
      </c>
      <c r="D119" s="53" t="s">
        <v>440</v>
      </c>
      <c r="E119" s="53">
        <v>3</v>
      </c>
      <c r="F119" s="52" t="s">
        <v>441</v>
      </c>
      <c r="G119" s="54" t="s">
        <v>442</v>
      </c>
      <c r="H119" s="55" t="s">
        <v>462</v>
      </c>
      <c r="I119" s="84">
        <v>3757706.0633333302</v>
      </c>
      <c r="J119" s="55" t="s">
        <v>463</v>
      </c>
      <c r="K119" s="53" t="s">
        <v>464</v>
      </c>
      <c r="L119" s="53" t="s">
        <v>446</v>
      </c>
      <c r="M119" s="53" t="s">
        <v>34</v>
      </c>
      <c r="N119" s="53" t="s">
        <v>34</v>
      </c>
      <c r="O119" s="53" t="s">
        <v>46</v>
      </c>
      <c r="P119" s="53" t="s">
        <v>465</v>
      </c>
      <c r="Q119" s="53"/>
      <c r="R119" s="56">
        <v>45659</v>
      </c>
      <c r="S119" s="53" t="s">
        <v>39</v>
      </c>
      <c r="T119" s="53" t="s">
        <v>466</v>
      </c>
      <c r="U119" s="53" t="s">
        <v>33</v>
      </c>
      <c r="V119" s="53" t="s">
        <v>38</v>
      </c>
      <c r="W119" s="100">
        <v>171012025000230</v>
      </c>
      <c r="X119" s="10"/>
    </row>
    <row r="120" spans="1:24" s="11" customFormat="1" ht="15" customHeight="1" x14ac:dyDescent="0.25">
      <c r="A120" s="65"/>
      <c r="B120" s="48">
        <v>99.2</v>
      </c>
      <c r="C120" s="48" t="s">
        <v>25</v>
      </c>
      <c r="D120" s="49" t="s">
        <v>440</v>
      </c>
      <c r="E120" s="49">
        <v>3</v>
      </c>
      <c r="F120" s="48" t="s">
        <v>441</v>
      </c>
      <c r="G120" s="50" t="s">
        <v>442</v>
      </c>
      <c r="H120" s="51" t="s">
        <v>467</v>
      </c>
      <c r="I120" s="85">
        <v>2320000</v>
      </c>
      <c r="J120" s="51" t="s">
        <v>463</v>
      </c>
      <c r="K120" s="49" t="s">
        <v>464</v>
      </c>
      <c r="L120" s="49" t="s">
        <v>446</v>
      </c>
      <c r="M120" s="49" t="s">
        <v>33</v>
      </c>
      <c r="N120" s="49" t="s">
        <v>34</v>
      </c>
      <c r="O120" s="49" t="s">
        <v>35</v>
      </c>
      <c r="P120" s="49" t="s">
        <v>468</v>
      </c>
      <c r="Q120" s="48" t="s">
        <v>469</v>
      </c>
      <c r="R120" s="57" t="s">
        <v>38</v>
      </c>
      <c r="S120" s="49" t="s">
        <v>39</v>
      </c>
      <c r="T120" s="48" t="s">
        <v>466</v>
      </c>
      <c r="U120" s="49" t="s">
        <v>33</v>
      </c>
      <c r="V120" s="49" t="s">
        <v>38</v>
      </c>
      <c r="W120" s="90">
        <v>171012025000148</v>
      </c>
      <c r="X120" s="10"/>
    </row>
    <row r="121" spans="1:24" s="11" customFormat="1" ht="15" customHeight="1" x14ac:dyDescent="0.25">
      <c r="A121" s="65"/>
      <c r="B121" s="52">
        <v>100.1</v>
      </c>
      <c r="C121" s="52" t="s">
        <v>25</v>
      </c>
      <c r="D121" s="53" t="s">
        <v>440</v>
      </c>
      <c r="E121" s="53">
        <v>3</v>
      </c>
      <c r="F121" s="52" t="s">
        <v>470</v>
      </c>
      <c r="G121" s="54" t="s">
        <v>442</v>
      </c>
      <c r="H121" s="55" t="s">
        <v>471</v>
      </c>
      <c r="I121" s="84">
        <f>5000000/12</f>
        <v>416666.66666666669</v>
      </c>
      <c r="J121" s="55" t="s">
        <v>472</v>
      </c>
      <c r="K121" s="53" t="s">
        <v>464</v>
      </c>
      <c r="L121" s="53" t="s">
        <v>446</v>
      </c>
      <c r="M121" s="53" t="s">
        <v>34</v>
      </c>
      <c r="N121" s="53" t="s">
        <v>34</v>
      </c>
      <c r="O121" s="53" t="s">
        <v>46</v>
      </c>
      <c r="P121" s="53" t="s">
        <v>473</v>
      </c>
      <c r="Q121" s="53"/>
      <c r="R121" s="56">
        <v>46000</v>
      </c>
      <c r="S121" s="53" t="s">
        <v>59</v>
      </c>
      <c r="T121" s="53" t="s">
        <v>474</v>
      </c>
      <c r="U121" s="53" t="s">
        <v>33</v>
      </c>
      <c r="V121" s="53" t="s">
        <v>38</v>
      </c>
      <c r="W121" s="100">
        <v>171012025000231</v>
      </c>
      <c r="X121" s="10"/>
    </row>
    <row r="122" spans="1:24" s="11" customFormat="1" ht="15" customHeight="1" x14ac:dyDescent="0.25">
      <c r="A122" s="65"/>
      <c r="B122" s="48">
        <v>100.2</v>
      </c>
      <c r="C122" s="48" t="s">
        <v>25</v>
      </c>
      <c r="D122" s="49" t="s">
        <v>440</v>
      </c>
      <c r="E122" s="49">
        <v>3</v>
      </c>
      <c r="F122" s="48" t="s">
        <v>470</v>
      </c>
      <c r="G122" s="50" t="s">
        <v>442</v>
      </c>
      <c r="H122" s="51" t="s">
        <v>475</v>
      </c>
      <c r="I122" s="85">
        <v>2693892.99</v>
      </c>
      <c r="J122" s="51" t="s">
        <v>472</v>
      </c>
      <c r="K122" s="49" t="s">
        <v>464</v>
      </c>
      <c r="L122" s="49" t="s">
        <v>446</v>
      </c>
      <c r="M122" s="49" t="s">
        <v>33</v>
      </c>
      <c r="N122" s="49" t="s">
        <v>34</v>
      </c>
      <c r="O122" s="49" t="s">
        <v>35</v>
      </c>
      <c r="P122" s="49" t="s">
        <v>476</v>
      </c>
      <c r="Q122" s="48" t="s">
        <v>477</v>
      </c>
      <c r="R122" s="57">
        <v>46000</v>
      </c>
      <c r="S122" s="49" t="s">
        <v>59</v>
      </c>
      <c r="T122" s="48" t="s">
        <v>474</v>
      </c>
      <c r="U122" s="49" t="s">
        <v>33</v>
      </c>
      <c r="V122" s="49" t="s">
        <v>38</v>
      </c>
      <c r="W122" s="90">
        <v>171012025000147</v>
      </c>
      <c r="X122" s="10"/>
    </row>
    <row r="123" spans="1:24" s="11" customFormat="1" ht="15" customHeight="1" x14ac:dyDescent="0.25">
      <c r="A123" s="65"/>
      <c r="B123" s="52">
        <v>101</v>
      </c>
      <c r="C123" s="52" t="s">
        <v>25</v>
      </c>
      <c r="D123" s="53" t="s">
        <v>440</v>
      </c>
      <c r="E123" s="53">
        <v>3</v>
      </c>
      <c r="F123" s="52" t="s">
        <v>478</v>
      </c>
      <c r="G123" s="54" t="s">
        <v>442</v>
      </c>
      <c r="H123" s="55" t="s">
        <v>479</v>
      </c>
      <c r="I123" s="84">
        <v>730031.04</v>
      </c>
      <c r="J123" s="55" t="s">
        <v>480</v>
      </c>
      <c r="K123" s="53" t="s">
        <v>445</v>
      </c>
      <c r="L123" s="53" t="s">
        <v>446</v>
      </c>
      <c r="M123" s="53" t="s">
        <v>33</v>
      </c>
      <c r="N123" s="53" t="s">
        <v>34</v>
      </c>
      <c r="O123" s="53" t="s">
        <v>71</v>
      </c>
      <c r="P123" s="53" t="s">
        <v>481</v>
      </c>
      <c r="Q123" s="53" t="s">
        <v>482</v>
      </c>
      <c r="R123" s="56">
        <v>46033</v>
      </c>
      <c r="S123" s="53" t="s">
        <v>59</v>
      </c>
      <c r="T123" s="53" t="s">
        <v>483</v>
      </c>
      <c r="U123" s="53" t="s">
        <v>33</v>
      </c>
      <c r="V123" s="53" t="s">
        <v>38</v>
      </c>
      <c r="W123" s="89">
        <v>171012025000191</v>
      </c>
      <c r="X123" s="10"/>
    </row>
    <row r="124" spans="1:24" s="11" customFormat="1" ht="15" customHeight="1" x14ac:dyDescent="0.25">
      <c r="A124" s="65"/>
      <c r="B124" s="48">
        <v>102.1</v>
      </c>
      <c r="C124" s="48" t="s">
        <v>25</v>
      </c>
      <c r="D124" s="49" t="s">
        <v>440</v>
      </c>
      <c r="E124" s="49">
        <v>3</v>
      </c>
      <c r="F124" s="48" t="s">
        <v>441</v>
      </c>
      <c r="G124" s="50" t="s">
        <v>442</v>
      </c>
      <c r="H124" s="51" t="s">
        <v>484</v>
      </c>
      <c r="I124" s="85">
        <v>597902.13</v>
      </c>
      <c r="J124" s="51" t="s">
        <v>485</v>
      </c>
      <c r="K124" s="49" t="s">
        <v>445</v>
      </c>
      <c r="L124" s="49" t="s">
        <v>32</v>
      </c>
      <c r="M124" s="49" t="s">
        <v>33</v>
      </c>
      <c r="N124" s="49" t="s">
        <v>34</v>
      </c>
      <c r="O124" s="49" t="s">
        <v>71</v>
      </c>
      <c r="P124" s="49" t="s">
        <v>486</v>
      </c>
      <c r="Q124" s="48" t="s">
        <v>487</v>
      </c>
      <c r="R124" s="57">
        <v>45683</v>
      </c>
      <c r="S124" s="49" t="s">
        <v>59</v>
      </c>
      <c r="T124" s="48" t="s">
        <v>488</v>
      </c>
      <c r="U124" s="49" t="s">
        <v>33</v>
      </c>
      <c r="V124" s="49" t="s">
        <v>38</v>
      </c>
      <c r="W124" s="90">
        <v>171012025000192</v>
      </c>
      <c r="X124" s="10"/>
    </row>
    <row r="125" spans="1:24" s="11" customFormat="1" ht="15" customHeight="1" x14ac:dyDescent="0.25">
      <c r="A125" s="65"/>
      <c r="B125" s="52">
        <v>102.2</v>
      </c>
      <c r="C125" s="52" t="s">
        <v>25</v>
      </c>
      <c r="D125" s="53" t="s">
        <v>440</v>
      </c>
      <c r="E125" s="53">
        <v>3</v>
      </c>
      <c r="F125" s="52" t="s">
        <v>441</v>
      </c>
      <c r="G125" s="54" t="s">
        <v>442</v>
      </c>
      <c r="H125" s="55" t="s">
        <v>489</v>
      </c>
      <c r="I125" s="84">
        <v>0</v>
      </c>
      <c r="J125" s="55" t="s">
        <v>485</v>
      </c>
      <c r="K125" s="53" t="s">
        <v>445</v>
      </c>
      <c r="L125" s="53" t="s">
        <v>32</v>
      </c>
      <c r="M125" s="53" t="s">
        <v>33</v>
      </c>
      <c r="N125" s="53" t="s">
        <v>34</v>
      </c>
      <c r="O125" s="53" t="s">
        <v>71</v>
      </c>
      <c r="P125" s="53" t="s">
        <v>486</v>
      </c>
      <c r="Q125" s="53" t="s">
        <v>487</v>
      </c>
      <c r="R125" s="56">
        <v>45683</v>
      </c>
      <c r="S125" s="53" t="s">
        <v>59</v>
      </c>
      <c r="T125" s="53" t="s">
        <v>488</v>
      </c>
      <c r="U125" s="53" t="s">
        <v>33</v>
      </c>
      <c r="V125" s="53" t="s">
        <v>38</v>
      </c>
      <c r="W125" s="89">
        <v>171012025000192</v>
      </c>
      <c r="X125" s="10"/>
    </row>
    <row r="126" spans="1:24" s="11" customFormat="1" ht="15" customHeight="1" x14ac:dyDescent="0.25">
      <c r="A126" s="65"/>
      <c r="B126" s="48">
        <v>103</v>
      </c>
      <c r="C126" s="48" t="s">
        <v>25</v>
      </c>
      <c r="D126" s="49" t="s">
        <v>440</v>
      </c>
      <c r="E126" s="49">
        <v>3</v>
      </c>
      <c r="F126" s="48" t="s">
        <v>490</v>
      </c>
      <c r="G126" s="50" t="s">
        <v>442</v>
      </c>
      <c r="H126" s="51" t="s">
        <v>491</v>
      </c>
      <c r="I126" s="85">
        <v>225813.84</v>
      </c>
      <c r="J126" s="51" t="s">
        <v>492</v>
      </c>
      <c r="K126" s="49" t="s">
        <v>442</v>
      </c>
      <c r="L126" s="49" t="s">
        <v>446</v>
      </c>
      <c r="M126" s="49" t="s">
        <v>33</v>
      </c>
      <c r="N126" s="49" t="s">
        <v>34</v>
      </c>
      <c r="O126" s="49" t="s">
        <v>35</v>
      </c>
      <c r="P126" s="49" t="s">
        <v>493</v>
      </c>
      <c r="Q126" s="48" t="s">
        <v>494</v>
      </c>
      <c r="R126" s="57" t="s">
        <v>38</v>
      </c>
      <c r="S126" s="49" t="s">
        <v>59</v>
      </c>
      <c r="T126" s="48" t="s">
        <v>495</v>
      </c>
      <c r="U126" s="49" t="s">
        <v>33</v>
      </c>
      <c r="V126" s="49" t="s">
        <v>38</v>
      </c>
      <c r="W126" s="90">
        <v>171012025000150</v>
      </c>
      <c r="X126" s="10"/>
    </row>
    <row r="127" spans="1:24" s="11" customFormat="1" ht="15" customHeight="1" x14ac:dyDescent="0.25">
      <c r="A127" s="65"/>
      <c r="B127" s="52">
        <v>104.1</v>
      </c>
      <c r="C127" s="52" t="s">
        <v>25</v>
      </c>
      <c r="D127" s="53" t="s">
        <v>440</v>
      </c>
      <c r="E127" s="53">
        <v>3</v>
      </c>
      <c r="F127" s="52" t="s">
        <v>496</v>
      </c>
      <c r="G127" s="54" t="s">
        <v>442</v>
      </c>
      <c r="H127" s="55" t="s">
        <v>497</v>
      </c>
      <c r="I127" s="84">
        <v>301930.15999999997</v>
      </c>
      <c r="J127" s="55" t="s">
        <v>498</v>
      </c>
      <c r="K127" s="53" t="s">
        <v>442</v>
      </c>
      <c r="L127" s="53" t="s">
        <v>446</v>
      </c>
      <c r="M127" s="53" t="s">
        <v>33</v>
      </c>
      <c r="N127" s="53" t="s">
        <v>34</v>
      </c>
      <c r="O127" s="53" t="s">
        <v>71</v>
      </c>
      <c r="P127" s="53" t="s">
        <v>499</v>
      </c>
      <c r="Q127" s="53" t="s">
        <v>37</v>
      </c>
      <c r="R127" s="56">
        <v>45930</v>
      </c>
      <c r="S127" s="53" t="s">
        <v>59</v>
      </c>
      <c r="T127" s="53" t="s">
        <v>500</v>
      </c>
      <c r="U127" s="53" t="s">
        <v>33</v>
      </c>
      <c r="V127" s="53" t="s">
        <v>38</v>
      </c>
      <c r="W127" s="89">
        <v>171012025000199</v>
      </c>
      <c r="X127" s="10"/>
    </row>
    <row r="128" spans="1:24" s="11" customFormat="1" ht="15" customHeight="1" x14ac:dyDescent="0.25">
      <c r="A128" s="65"/>
      <c r="B128" s="48">
        <v>104.2</v>
      </c>
      <c r="C128" s="48" t="s">
        <v>25</v>
      </c>
      <c r="D128" s="49" t="s">
        <v>440</v>
      </c>
      <c r="E128" s="49">
        <v>3</v>
      </c>
      <c r="F128" s="48" t="s">
        <v>496</v>
      </c>
      <c r="G128" s="50" t="s">
        <v>442</v>
      </c>
      <c r="H128" s="51" t="s">
        <v>501</v>
      </c>
      <c r="I128" s="85">
        <v>162958.30499999999</v>
      </c>
      <c r="J128" s="51" t="s">
        <v>498</v>
      </c>
      <c r="K128" s="49" t="s">
        <v>442</v>
      </c>
      <c r="L128" s="49" t="s">
        <v>446</v>
      </c>
      <c r="M128" s="49" t="s">
        <v>34</v>
      </c>
      <c r="N128" s="49" t="s">
        <v>34</v>
      </c>
      <c r="O128" s="49" t="s">
        <v>46</v>
      </c>
      <c r="P128" s="49" t="s">
        <v>502</v>
      </c>
      <c r="Q128" s="48" t="s">
        <v>503</v>
      </c>
      <c r="R128" s="57">
        <v>45930</v>
      </c>
      <c r="S128" s="49" t="s">
        <v>39</v>
      </c>
      <c r="T128" s="48" t="s">
        <v>500</v>
      </c>
      <c r="U128" s="49" t="s">
        <v>33</v>
      </c>
      <c r="V128" s="49" t="s">
        <v>38</v>
      </c>
      <c r="W128" s="100">
        <v>171012025000232</v>
      </c>
      <c r="X128" s="10"/>
    </row>
    <row r="129" spans="1:24" s="11" customFormat="1" ht="15" customHeight="1" x14ac:dyDescent="0.25">
      <c r="A129" s="65"/>
      <c r="B129" s="52">
        <v>105</v>
      </c>
      <c r="C129" s="52" t="s">
        <v>25</v>
      </c>
      <c r="D129" s="53" t="s">
        <v>440</v>
      </c>
      <c r="E129" s="53">
        <v>3</v>
      </c>
      <c r="F129" s="52" t="s">
        <v>478</v>
      </c>
      <c r="G129" s="54" t="s">
        <v>442</v>
      </c>
      <c r="H129" s="55" t="s">
        <v>504</v>
      </c>
      <c r="I129" s="84">
        <v>126564</v>
      </c>
      <c r="J129" s="55" t="s">
        <v>505</v>
      </c>
      <c r="K129" s="53" t="s">
        <v>445</v>
      </c>
      <c r="L129" s="53" t="s">
        <v>446</v>
      </c>
      <c r="M129" s="53" t="s">
        <v>33</v>
      </c>
      <c r="N129" s="53" t="s">
        <v>34</v>
      </c>
      <c r="O129" s="53" t="s">
        <v>71</v>
      </c>
      <c r="P129" s="53" t="s">
        <v>506</v>
      </c>
      <c r="Q129" s="53" t="s">
        <v>507</v>
      </c>
      <c r="R129" s="56">
        <v>45755</v>
      </c>
      <c r="S129" s="53" t="s">
        <v>59</v>
      </c>
      <c r="T129" s="53" t="s">
        <v>508</v>
      </c>
      <c r="U129" s="53" t="s">
        <v>33</v>
      </c>
      <c r="V129" s="53" t="s">
        <v>38</v>
      </c>
      <c r="W129" s="89">
        <v>171012025000207</v>
      </c>
      <c r="X129" s="10"/>
    </row>
    <row r="130" spans="1:24" s="11" customFormat="1" ht="15" customHeight="1" x14ac:dyDescent="0.25">
      <c r="A130" s="65"/>
      <c r="B130" s="48">
        <v>106.1</v>
      </c>
      <c r="C130" s="48" t="s">
        <v>25</v>
      </c>
      <c r="D130" s="49" t="s">
        <v>440</v>
      </c>
      <c r="E130" s="49">
        <v>3</v>
      </c>
      <c r="F130" s="48" t="s">
        <v>285</v>
      </c>
      <c r="G130" s="50" t="s">
        <v>442</v>
      </c>
      <c r="H130" s="51" t="s">
        <v>509</v>
      </c>
      <c r="I130" s="85">
        <v>51084.1</v>
      </c>
      <c r="J130" s="51" t="s">
        <v>510</v>
      </c>
      <c r="K130" s="49" t="s">
        <v>445</v>
      </c>
      <c r="L130" s="49" t="s">
        <v>32</v>
      </c>
      <c r="M130" s="49" t="s">
        <v>33</v>
      </c>
      <c r="N130" s="49" t="s">
        <v>34</v>
      </c>
      <c r="O130" s="49" t="s">
        <v>71</v>
      </c>
      <c r="P130" s="49" t="s">
        <v>511</v>
      </c>
      <c r="Q130" s="48" t="s">
        <v>512</v>
      </c>
      <c r="R130" s="57">
        <v>45682</v>
      </c>
      <c r="S130" s="49" t="s">
        <v>59</v>
      </c>
      <c r="T130" s="48" t="s">
        <v>513</v>
      </c>
      <c r="U130" s="49" t="s">
        <v>33</v>
      </c>
      <c r="V130" s="49" t="s">
        <v>38</v>
      </c>
      <c r="W130" s="90">
        <v>171012025000166</v>
      </c>
      <c r="X130" s="10"/>
    </row>
    <row r="131" spans="1:24" s="11" customFormat="1" ht="15" customHeight="1" x14ac:dyDescent="0.25">
      <c r="A131" s="65"/>
      <c r="B131" s="52">
        <v>106.2</v>
      </c>
      <c r="C131" s="52" t="s">
        <v>25</v>
      </c>
      <c r="D131" s="53" t="s">
        <v>440</v>
      </c>
      <c r="E131" s="53">
        <v>3</v>
      </c>
      <c r="F131" s="52" t="s">
        <v>514</v>
      </c>
      <c r="G131" s="54" t="s">
        <v>442</v>
      </c>
      <c r="H131" s="55" t="s">
        <v>515</v>
      </c>
      <c r="I131" s="84">
        <v>35510.720000000001</v>
      </c>
      <c r="J131" s="55" t="s">
        <v>510</v>
      </c>
      <c r="K131" s="53" t="s">
        <v>445</v>
      </c>
      <c r="L131" s="53" t="s">
        <v>32</v>
      </c>
      <c r="M131" s="53" t="s">
        <v>33</v>
      </c>
      <c r="N131" s="53" t="s">
        <v>34</v>
      </c>
      <c r="O131" s="53" t="s">
        <v>71</v>
      </c>
      <c r="P131" s="53" t="s">
        <v>511</v>
      </c>
      <c r="Q131" s="53" t="s">
        <v>512</v>
      </c>
      <c r="R131" s="56">
        <v>45682</v>
      </c>
      <c r="S131" s="53" t="s">
        <v>59</v>
      </c>
      <c r="T131" s="53" t="s">
        <v>513</v>
      </c>
      <c r="U131" s="53"/>
      <c r="V131" s="53"/>
      <c r="W131" s="100">
        <v>171012025000235</v>
      </c>
      <c r="X131" s="10"/>
    </row>
    <row r="132" spans="1:24" s="11" customFormat="1" ht="15" customHeight="1" x14ac:dyDescent="0.25">
      <c r="A132" s="65"/>
      <c r="B132" s="48">
        <v>107</v>
      </c>
      <c r="C132" s="48" t="s">
        <v>25</v>
      </c>
      <c r="D132" s="49" t="s">
        <v>440</v>
      </c>
      <c r="E132" s="49">
        <v>3</v>
      </c>
      <c r="F132" s="48" t="s">
        <v>441</v>
      </c>
      <c r="G132" s="50" t="s">
        <v>442</v>
      </c>
      <c r="H132" s="51" t="s">
        <v>516</v>
      </c>
      <c r="I132" s="85">
        <v>141424.53</v>
      </c>
      <c r="J132" s="51" t="s">
        <v>517</v>
      </c>
      <c r="K132" s="49" t="s">
        <v>445</v>
      </c>
      <c r="L132" s="49" t="s">
        <v>446</v>
      </c>
      <c r="M132" s="49" t="s">
        <v>33</v>
      </c>
      <c r="N132" s="49" t="s">
        <v>34</v>
      </c>
      <c r="O132" s="49" t="s">
        <v>71</v>
      </c>
      <c r="P132" s="49" t="s">
        <v>518</v>
      </c>
      <c r="Q132" s="48" t="s">
        <v>519</v>
      </c>
      <c r="R132" s="57">
        <v>45976</v>
      </c>
      <c r="S132" s="49" t="s">
        <v>116</v>
      </c>
      <c r="T132" s="48" t="s">
        <v>461</v>
      </c>
      <c r="U132" s="49" t="s">
        <v>33</v>
      </c>
      <c r="V132" s="49" t="s">
        <v>38</v>
      </c>
      <c r="W132" s="90">
        <v>171012025000180</v>
      </c>
      <c r="X132" s="10"/>
    </row>
    <row r="133" spans="1:24" s="11" customFormat="1" ht="15" customHeight="1" x14ac:dyDescent="0.25">
      <c r="A133" s="65"/>
      <c r="B133" s="52">
        <v>108</v>
      </c>
      <c r="C133" s="52" t="s">
        <v>25</v>
      </c>
      <c r="D133" s="53" t="s">
        <v>440</v>
      </c>
      <c r="E133" s="53">
        <v>3</v>
      </c>
      <c r="F133" s="52" t="s">
        <v>496</v>
      </c>
      <c r="G133" s="54" t="s">
        <v>442</v>
      </c>
      <c r="H133" s="55" t="s">
        <v>520</v>
      </c>
      <c r="I133" s="84">
        <v>127999.92</v>
      </c>
      <c r="J133" s="55" t="s">
        <v>521</v>
      </c>
      <c r="K133" s="53" t="s">
        <v>445</v>
      </c>
      <c r="L133" s="53" t="s">
        <v>446</v>
      </c>
      <c r="M133" s="53" t="s">
        <v>33</v>
      </c>
      <c r="N133" s="53" t="s">
        <v>34</v>
      </c>
      <c r="O133" s="53" t="s">
        <v>35</v>
      </c>
      <c r="P133" s="53" t="s">
        <v>522</v>
      </c>
      <c r="Q133" s="53" t="s">
        <v>523</v>
      </c>
      <c r="R133" s="56" t="s">
        <v>38</v>
      </c>
      <c r="S133" s="53" t="s">
        <v>116</v>
      </c>
      <c r="T133" s="53" t="s">
        <v>524</v>
      </c>
      <c r="U133" s="53" t="s">
        <v>33</v>
      </c>
      <c r="V133" s="53" t="s">
        <v>38</v>
      </c>
      <c r="W133" s="89">
        <v>171012025000181</v>
      </c>
      <c r="X133" s="10"/>
    </row>
    <row r="134" spans="1:24" s="11" customFormat="1" ht="15" customHeight="1" x14ac:dyDescent="0.25">
      <c r="A134" s="65"/>
      <c r="B134" s="48">
        <v>109</v>
      </c>
      <c r="C134" s="48" t="s">
        <v>25</v>
      </c>
      <c r="D134" s="49" t="s">
        <v>440</v>
      </c>
      <c r="E134" s="49">
        <v>3</v>
      </c>
      <c r="F134" s="48" t="s">
        <v>525</v>
      </c>
      <c r="G134" s="50" t="s">
        <v>442</v>
      </c>
      <c r="H134" s="51" t="s">
        <v>526</v>
      </c>
      <c r="I134" s="85">
        <v>102557.48</v>
      </c>
      <c r="J134" s="51" t="s">
        <v>527</v>
      </c>
      <c r="K134" s="49" t="s">
        <v>464</v>
      </c>
      <c r="L134" s="49" t="s">
        <v>446</v>
      </c>
      <c r="M134" s="49" t="s">
        <v>33</v>
      </c>
      <c r="N134" s="49" t="s">
        <v>34</v>
      </c>
      <c r="O134" s="49" t="s">
        <v>71</v>
      </c>
      <c r="P134" s="49" t="s">
        <v>528</v>
      </c>
      <c r="Q134" s="48" t="s">
        <v>529</v>
      </c>
      <c r="R134" s="57">
        <v>45754</v>
      </c>
      <c r="S134" s="49" t="s">
        <v>59</v>
      </c>
      <c r="T134" s="48" t="s">
        <v>483</v>
      </c>
      <c r="U134" s="49" t="s">
        <v>33</v>
      </c>
      <c r="V134" s="49" t="s">
        <v>38</v>
      </c>
      <c r="W134" s="90">
        <v>171012025000182</v>
      </c>
      <c r="X134" s="10"/>
    </row>
    <row r="135" spans="1:24" s="11" customFormat="1" ht="15" customHeight="1" x14ac:dyDescent="0.25">
      <c r="A135" s="65"/>
      <c r="B135" s="52">
        <v>110</v>
      </c>
      <c r="C135" s="52" t="s">
        <v>25</v>
      </c>
      <c r="D135" s="53" t="s">
        <v>440</v>
      </c>
      <c r="E135" s="53">
        <v>3</v>
      </c>
      <c r="F135" s="52" t="s">
        <v>496</v>
      </c>
      <c r="G135" s="54" t="s">
        <v>442</v>
      </c>
      <c r="H135" s="55" t="s">
        <v>530</v>
      </c>
      <c r="I135" s="84">
        <v>56951.4</v>
      </c>
      <c r="J135" s="55" t="s">
        <v>521</v>
      </c>
      <c r="K135" s="53" t="s">
        <v>445</v>
      </c>
      <c r="L135" s="53" t="s">
        <v>446</v>
      </c>
      <c r="M135" s="53" t="s">
        <v>33</v>
      </c>
      <c r="N135" s="53" t="s">
        <v>34</v>
      </c>
      <c r="O135" s="53" t="s">
        <v>71</v>
      </c>
      <c r="P135" s="53" t="s">
        <v>531</v>
      </c>
      <c r="Q135" s="53" t="s">
        <v>532</v>
      </c>
      <c r="R135" s="56">
        <v>45670</v>
      </c>
      <c r="S135" s="53" t="s">
        <v>59</v>
      </c>
      <c r="T135" s="53" t="s">
        <v>461</v>
      </c>
      <c r="U135" s="53" t="s">
        <v>33</v>
      </c>
      <c r="V135" s="53" t="s">
        <v>38</v>
      </c>
      <c r="W135" s="89">
        <v>171012025000184</v>
      </c>
      <c r="X135" s="10"/>
    </row>
    <row r="136" spans="1:24" s="11" customFormat="1" ht="15" customHeight="1" x14ac:dyDescent="0.25">
      <c r="A136" s="65"/>
      <c r="B136" s="48">
        <v>111</v>
      </c>
      <c r="C136" s="48" t="s">
        <v>25</v>
      </c>
      <c r="D136" s="49" t="s">
        <v>440</v>
      </c>
      <c r="E136" s="49">
        <v>3</v>
      </c>
      <c r="F136" s="48" t="s">
        <v>285</v>
      </c>
      <c r="G136" s="50" t="s">
        <v>442</v>
      </c>
      <c r="H136" s="51" t="s">
        <v>533</v>
      </c>
      <c r="I136" s="85">
        <v>19246.38</v>
      </c>
      <c r="J136" s="51" t="s">
        <v>534</v>
      </c>
      <c r="K136" s="49" t="s">
        <v>445</v>
      </c>
      <c r="L136" s="49" t="s">
        <v>32</v>
      </c>
      <c r="M136" s="49" t="s">
        <v>33</v>
      </c>
      <c r="N136" s="49" t="s">
        <v>34</v>
      </c>
      <c r="O136" s="49" t="s">
        <v>71</v>
      </c>
      <c r="P136" s="49" t="s">
        <v>535</v>
      </c>
      <c r="Q136" s="48" t="s">
        <v>536</v>
      </c>
      <c r="R136" s="57">
        <v>45682</v>
      </c>
      <c r="S136" s="49" t="s">
        <v>59</v>
      </c>
      <c r="T136" s="48" t="s">
        <v>537</v>
      </c>
      <c r="U136" s="49" t="s">
        <v>33</v>
      </c>
      <c r="V136" s="49" t="s">
        <v>38</v>
      </c>
      <c r="W136" s="90">
        <v>171012025000167</v>
      </c>
      <c r="X136" s="10"/>
    </row>
    <row r="137" spans="1:24" s="11" customFormat="1" ht="15" customHeight="1" x14ac:dyDescent="0.25">
      <c r="A137" s="65"/>
      <c r="B137" s="52">
        <v>112</v>
      </c>
      <c r="C137" s="52" t="s">
        <v>25</v>
      </c>
      <c r="D137" s="53" t="s">
        <v>440</v>
      </c>
      <c r="E137" s="53">
        <v>3</v>
      </c>
      <c r="F137" s="52" t="s">
        <v>285</v>
      </c>
      <c r="G137" s="54" t="s">
        <v>442</v>
      </c>
      <c r="H137" s="55" t="s">
        <v>533</v>
      </c>
      <c r="I137" s="84">
        <v>14256</v>
      </c>
      <c r="J137" s="55" t="s">
        <v>534</v>
      </c>
      <c r="K137" s="53" t="s">
        <v>445</v>
      </c>
      <c r="L137" s="53" t="s">
        <v>32</v>
      </c>
      <c r="M137" s="53" t="s">
        <v>33</v>
      </c>
      <c r="N137" s="53" t="s">
        <v>34</v>
      </c>
      <c r="O137" s="53" t="s">
        <v>71</v>
      </c>
      <c r="P137" s="53" t="s">
        <v>535</v>
      </c>
      <c r="Q137" s="53" t="s">
        <v>538</v>
      </c>
      <c r="R137" s="56">
        <v>45682</v>
      </c>
      <c r="S137" s="53" t="s">
        <v>59</v>
      </c>
      <c r="T137" s="53" t="s">
        <v>537</v>
      </c>
      <c r="U137" s="53" t="s">
        <v>33</v>
      </c>
      <c r="V137" s="53" t="s">
        <v>38</v>
      </c>
      <c r="W137" s="100">
        <v>171012025000236</v>
      </c>
      <c r="X137" s="10"/>
    </row>
    <row r="138" spans="1:24" s="11" customFormat="1" ht="15" customHeight="1" x14ac:dyDescent="0.25">
      <c r="A138" s="65"/>
      <c r="B138" s="48">
        <v>113.1</v>
      </c>
      <c r="C138" s="48" t="s">
        <v>25</v>
      </c>
      <c r="D138" s="49" t="s">
        <v>440</v>
      </c>
      <c r="E138" s="49">
        <v>3</v>
      </c>
      <c r="F138" s="48" t="s">
        <v>539</v>
      </c>
      <c r="G138" s="50" t="s">
        <v>442</v>
      </c>
      <c r="H138" s="51" t="s">
        <v>540</v>
      </c>
      <c r="I138" s="85">
        <v>5000</v>
      </c>
      <c r="J138" s="51" t="s">
        <v>541</v>
      </c>
      <c r="K138" s="49" t="s">
        <v>445</v>
      </c>
      <c r="L138" s="49" t="s">
        <v>446</v>
      </c>
      <c r="M138" s="49" t="s">
        <v>34</v>
      </c>
      <c r="N138" s="49" t="s">
        <v>34</v>
      </c>
      <c r="O138" s="49" t="s">
        <v>46</v>
      </c>
      <c r="P138" s="49" t="s">
        <v>54</v>
      </c>
      <c r="Q138" s="48"/>
      <c r="R138" s="57">
        <v>45986</v>
      </c>
      <c r="S138" s="49" t="s">
        <v>59</v>
      </c>
      <c r="T138" s="48" t="s">
        <v>542</v>
      </c>
      <c r="U138" s="49" t="s">
        <v>33</v>
      </c>
      <c r="V138" s="49" t="s">
        <v>38</v>
      </c>
      <c r="W138" s="100">
        <v>171012025000233</v>
      </c>
      <c r="X138" s="10"/>
    </row>
    <row r="139" spans="1:24" s="11" customFormat="1" ht="15" customHeight="1" x14ac:dyDescent="0.25">
      <c r="A139" s="65"/>
      <c r="B139" s="52">
        <v>113.2</v>
      </c>
      <c r="C139" s="52" t="s">
        <v>25</v>
      </c>
      <c r="D139" s="53" t="s">
        <v>440</v>
      </c>
      <c r="E139" s="53">
        <v>3</v>
      </c>
      <c r="F139" s="52" t="s">
        <v>539</v>
      </c>
      <c r="G139" s="54" t="s">
        <v>442</v>
      </c>
      <c r="H139" s="55" t="s">
        <v>543</v>
      </c>
      <c r="I139" s="84">
        <v>28996.83</v>
      </c>
      <c r="J139" s="55" t="s">
        <v>541</v>
      </c>
      <c r="K139" s="53" t="s">
        <v>445</v>
      </c>
      <c r="L139" s="53" t="s">
        <v>446</v>
      </c>
      <c r="M139" s="53" t="s">
        <v>33</v>
      </c>
      <c r="N139" s="53" t="s">
        <v>34</v>
      </c>
      <c r="O139" s="53" t="s">
        <v>35</v>
      </c>
      <c r="P139" s="53" t="s">
        <v>544</v>
      </c>
      <c r="Q139" s="53" t="s">
        <v>545</v>
      </c>
      <c r="R139" s="56" t="s">
        <v>38</v>
      </c>
      <c r="S139" s="53" t="s">
        <v>59</v>
      </c>
      <c r="T139" s="53" t="s">
        <v>542</v>
      </c>
      <c r="U139" s="53" t="s">
        <v>33</v>
      </c>
      <c r="V139" s="53" t="s">
        <v>38</v>
      </c>
      <c r="W139" s="89">
        <v>171012025000149</v>
      </c>
      <c r="X139" s="10"/>
    </row>
    <row r="140" spans="1:24" s="11" customFormat="1" ht="15" customHeight="1" x14ac:dyDescent="0.25">
      <c r="A140" s="65"/>
      <c r="B140" s="48">
        <v>114.1</v>
      </c>
      <c r="C140" s="48" t="s">
        <v>25</v>
      </c>
      <c r="D140" s="49" t="s">
        <v>440</v>
      </c>
      <c r="E140" s="49">
        <v>3</v>
      </c>
      <c r="F140" s="48" t="s">
        <v>539</v>
      </c>
      <c r="G140" s="50" t="s">
        <v>442</v>
      </c>
      <c r="H140" s="51" t="s">
        <v>546</v>
      </c>
      <c r="I140" s="85">
        <v>5000</v>
      </c>
      <c r="J140" s="51" t="s">
        <v>541</v>
      </c>
      <c r="K140" s="49" t="s">
        <v>445</v>
      </c>
      <c r="L140" s="49" t="s">
        <v>446</v>
      </c>
      <c r="M140" s="49" t="s">
        <v>34</v>
      </c>
      <c r="N140" s="49" t="s">
        <v>34</v>
      </c>
      <c r="O140" s="49" t="s">
        <v>46</v>
      </c>
      <c r="P140" s="49" t="s">
        <v>54</v>
      </c>
      <c r="Q140" s="48"/>
      <c r="R140" s="57">
        <v>45986</v>
      </c>
      <c r="S140" s="49" t="s">
        <v>59</v>
      </c>
      <c r="T140" s="48" t="s">
        <v>542</v>
      </c>
      <c r="U140" s="49" t="s">
        <v>33</v>
      </c>
      <c r="V140" s="49" t="s">
        <v>38</v>
      </c>
      <c r="W140" s="100">
        <v>171012025000234</v>
      </c>
      <c r="X140" s="10"/>
    </row>
    <row r="141" spans="1:24" s="11" customFormat="1" ht="15" customHeight="1" x14ac:dyDescent="0.25">
      <c r="A141" s="65"/>
      <c r="B141" s="52">
        <v>114.2</v>
      </c>
      <c r="C141" s="52" t="s">
        <v>25</v>
      </c>
      <c r="D141" s="53" t="s">
        <v>440</v>
      </c>
      <c r="E141" s="53">
        <v>3</v>
      </c>
      <c r="F141" s="52" t="s">
        <v>539</v>
      </c>
      <c r="G141" s="54" t="s">
        <v>442</v>
      </c>
      <c r="H141" s="55" t="s">
        <v>547</v>
      </c>
      <c r="I141" s="84">
        <v>28545.5</v>
      </c>
      <c r="J141" s="55" t="s">
        <v>541</v>
      </c>
      <c r="K141" s="53" t="s">
        <v>445</v>
      </c>
      <c r="L141" s="53" t="s">
        <v>446</v>
      </c>
      <c r="M141" s="53" t="s">
        <v>33</v>
      </c>
      <c r="N141" s="53" t="s">
        <v>34</v>
      </c>
      <c r="O141" s="53" t="s">
        <v>35</v>
      </c>
      <c r="P141" s="53" t="s">
        <v>548</v>
      </c>
      <c r="Q141" s="53" t="s">
        <v>549</v>
      </c>
      <c r="R141" s="56" t="s">
        <v>38</v>
      </c>
      <c r="S141" s="53" t="s">
        <v>59</v>
      </c>
      <c r="T141" s="53" t="s">
        <v>542</v>
      </c>
      <c r="U141" s="53" t="s">
        <v>33</v>
      </c>
      <c r="V141" s="53" t="s">
        <v>38</v>
      </c>
      <c r="W141" s="89">
        <v>171012025000185</v>
      </c>
      <c r="X141" s="10"/>
    </row>
    <row r="142" spans="1:24" s="11" customFormat="1" ht="15" customHeight="1" x14ac:dyDescent="0.25">
      <c r="A142" s="65"/>
      <c r="B142" s="48">
        <v>115</v>
      </c>
      <c r="C142" s="48" t="s">
        <v>25</v>
      </c>
      <c r="D142" s="49" t="s">
        <v>440</v>
      </c>
      <c r="E142" s="49">
        <v>4</v>
      </c>
      <c r="F142" s="48" t="s">
        <v>550</v>
      </c>
      <c r="G142" s="50" t="s">
        <v>442</v>
      </c>
      <c r="H142" s="51" t="s">
        <v>551</v>
      </c>
      <c r="I142" s="85">
        <v>1299443.75</v>
      </c>
      <c r="J142" s="51" t="s">
        <v>552</v>
      </c>
      <c r="K142" s="49" t="s">
        <v>445</v>
      </c>
      <c r="L142" s="49" t="s">
        <v>446</v>
      </c>
      <c r="M142" s="49" t="s">
        <v>34</v>
      </c>
      <c r="N142" s="49" t="s">
        <v>34</v>
      </c>
      <c r="O142" s="49" t="s">
        <v>46</v>
      </c>
      <c r="P142" s="49" t="s">
        <v>553</v>
      </c>
      <c r="Q142" s="48"/>
      <c r="R142" s="57">
        <v>45809</v>
      </c>
      <c r="S142" s="49" t="s">
        <v>116</v>
      </c>
      <c r="T142" s="48" t="s">
        <v>554</v>
      </c>
      <c r="U142" s="49" t="s">
        <v>33</v>
      </c>
      <c r="V142" s="49" t="s">
        <v>38</v>
      </c>
      <c r="W142" s="90">
        <v>171012025000187</v>
      </c>
      <c r="X142" s="10"/>
    </row>
    <row r="143" spans="1:24" s="11" customFormat="1" ht="15" customHeight="1" x14ac:dyDescent="0.25">
      <c r="A143" s="65"/>
      <c r="B143" s="52">
        <v>116</v>
      </c>
      <c r="C143" s="52" t="s">
        <v>25</v>
      </c>
      <c r="D143" s="53" t="s">
        <v>440</v>
      </c>
      <c r="E143" s="53">
        <v>3</v>
      </c>
      <c r="F143" s="52" t="s">
        <v>451</v>
      </c>
      <c r="G143" s="54" t="s">
        <v>442</v>
      </c>
      <c r="H143" s="55" t="s">
        <v>555</v>
      </c>
      <c r="I143" s="84">
        <v>120000</v>
      </c>
      <c r="J143" s="55" t="s">
        <v>556</v>
      </c>
      <c r="K143" s="53" t="s">
        <v>445</v>
      </c>
      <c r="L143" s="53" t="s">
        <v>32</v>
      </c>
      <c r="M143" s="53" t="s">
        <v>33</v>
      </c>
      <c r="N143" s="53" t="s">
        <v>34</v>
      </c>
      <c r="O143" s="53" t="s">
        <v>38</v>
      </c>
      <c r="P143" s="53" t="s">
        <v>557</v>
      </c>
      <c r="Q143" s="53" t="s">
        <v>558</v>
      </c>
      <c r="R143" s="56" t="s">
        <v>38</v>
      </c>
      <c r="S143" s="53" t="s">
        <v>38</v>
      </c>
      <c r="T143" s="53" t="s">
        <v>488</v>
      </c>
      <c r="U143" s="53" t="s">
        <v>33</v>
      </c>
      <c r="V143" s="53" t="s">
        <v>38</v>
      </c>
      <c r="W143" s="89">
        <v>171012025000172</v>
      </c>
      <c r="X143" s="10"/>
    </row>
    <row r="144" spans="1:24" s="11" customFormat="1" ht="15" customHeight="1" x14ac:dyDescent="0.25">
      <c r="A144" s="65"/>
      <c r="B144" s="48">
        <v>117</v>
      </c>
      <c r="C144" s="48" t="s">
        <v>25</v>
      </c>
      <c r="D144" s="49" t="s">
        <v>440</v>
      </c>
      <c r="E144" s="49">
        <v>3</v>
      </c>
      <c r="F144" s="48" t="s">
        <v>559</v>
      </c>
      <c r="G144" s="50" t="s">
        <v>442</v>
      </c>
      <c r="H144" s="51" t="s">
        <v>560</v>
      </c>
      <c r="I144" s="85">
        <v>7200000</v>
      </c>
      <c r="J144" s="51" t="s">
        <v>561</v>
      </c>
      <c r="K144" s="49" t="s">
        <v>442</v>
      </c>
      <c r="L144" s="49" t="s">
        <v>446</v>
      </c>
      <c r="M144" s="49" t="s">
        <v>33</v>
      </c>
      <c r="N144" s="49" t="s">
        <v>34</v>
      </c>
      <c r="O144" s="49" t="s">
        <v>71</v>
      </c>
      <c r="P144" s="49" t="s">
        <v>562</v>
      </c>
      <c r="Q144" s="48" t="s">
        <v>563</v>
      </c>
      <c r="R144" s="57">
        <v>45817</v>
      </c>
      <c r="S144" s="49" t="s">
        <v>39</v>
      </c>
      <c r="T144" s="48" t="s">
        <v>508</v>
      </c>
      <c r="U144" s="49" t="s">
        <v>33</v>
      </c>
      <c r="V144" s="49" t="s">
        <v>38</v>
      </c>
      <c r="W144" s="90">
        <v>171012025000171</v>
      </c>
      <c r="X144" s="10"/>
    </row>
    <row r="145" spans="1:24" s="11" customFormat="1" ht="15" customHeight="1" x14ac:dyDescent="0.25">
      <c r="A145" s="65"/>
      <c r="B145" s="52">
        <v>118</v>
      </c>
      <c r="C145" s="52" t="s">
        <v>25</v>
      </c>
      <c r="D145" s="53" t="s">
        <v>440</v>
      </c>
      <c r="E145" s="53">
        <v>3</v>
      </c>
      <c r="F145" s="52" t="s">
        <v>525</v>
      </c>
      <c r="G145" s="54" t="s">
        <v>442</v>
      </c>
      <c r="H145" s="55" t="s">
        <v>564</v>
      </c>
      <c r="I145" s="84">
        <v>0</v>
      </c>
      <c r="J145" s="55" t="s">
        <v>565</v>
      </c>
      <c r="K145" s="53" t="s">
        <v>464</v>
      </c>
      <c r="L145" s="53" t="s">
        <v>446</v>
      </c>
      <c r="M145" s="53" t="s">
        <v>34</v>
      </c>
      <c r="N145" s="53" t="s">
        <v>34</v>
      </c>
      <c r="O145" s="53" t="s">
        <v>46</v>
      </c>
      <c r="P145" s="53" t="s">
        <v>566</v>
      </c>
      <c r="Q145" s="53"/>
      <c r="R145" s="56">
        <v>45848</v>
      </c>
      <c r="S145" s="53" t="s">
        <v>116</v>
      </c>
      <c r="T145" s="53" t="s">
        <v>483</v>
      </c>
      <c r="U145" s="53" t="s">
        <v>33</v>
      </c>
      <c r="V145" s="53" t="s">
        <v>38</v>
      </c>
      <c r="W145" s="89">
        <v>171012025000205</v>
      </c>
      <c r="X145" s="10"/>
    </row>
    <row r="146" spans="1:24" s="11" customFormat="1" ht="15" customHeight="1" x14ac:dyDescent="0.25">
      <c r="A146" s="65"/>
      <c r="B146" s="48">
        <v>119</v>
      </c>
      <c r="C146" s="48" t="s">
        <v>25</v>
      </c>
      <c r="D146" s="49" t="s">
        <v>440</v>
      </c>
      <c r="E146" s="49">
        <v>3</v>
      </c>
      <c r="F146" s="48" t="s">
        <v>470</v>
      </c>
      <c r="G146" s="50" t="s">
        <v>442</v>
      </c>
      <c r="H146" s="51" t="s">
        <v>567</v>
      </c>
      <c r="I146" s="85">
        <v>81971.320000000007</v>
      </c>
      <c r="J146" s="51" t="s">
        <v>568</v>
      </c>
      <c r="K146" s="49" t="s">
        <v>442</v>
      </c>
      <c r="L146" s="49" t="s">
        <v>128</v>
      </c>
      <c r="M146" s="49" t="s">
        <v>33</v>
      </c>
      <c r="N146" s="49" t="s">
        <v>33</v>
      </c>
      <c r="O146" s="49" t="s">
        <v>71</v>
      </c>
      <c r="P146" s="49" t="s">
        <v>569</v>
      </c>
      <c r="Q146" s="48" t="s">
        <v>570</v>
      </c>
      <c r="R146" s="57">
        <v>45757</v>
      </c>
      <c r="S146" s="49" t="s">
        <v>59</v>
      </c>
      <c r="T146" s="48" t="s">
        <v>571</v>
      </c>
      <c r="U146" s="49" t="s">
        <v>33</v>
      </c>
      <c r="V146" s="49" t="s">
        <v>38</v>
      </c>
      <c r="W146" s="90">
        <v>171012025000188</v>
      </c>
      <c r="X146" s="10"/>
    </row>
    <row r="147" spans="1:24" s="11" customFormat="1" ht="15" customHeight="1" x14ac:dyDescent="0.25">
      <c r="A147" s="65"/>
      <c r="B147" s="52">
        <v>120</v>
      </c>
      <c r="C147" s="52" t="s">
        <v>25</v>
      </c>
      <c r="D147" s="53" t="s">
        <v>440</v>
      </c>
      <c r="E147" s="53">
        <v>3</v>
      </c>
      <c r="F147" s="52" t="s">
        <v>525</v>
      </c>
      <c r="G147" s="54" t="s">
        <v>442</v>
      </c>
      <c r="H147" s="55" t="s">
        <v>572</v>
      </c>
      <c r="I147" s="84">
        <v>0</v>
      </c>
      <c r="J147" s="55" t="s">
        <v>573</v>
      </c>
      <c r="K147" s="53" t="s">
        <v>445</v>
      </c>
      <c r="L147" s="53" t="s">
        <v>128</v>
      </c>
      <c r="M147" s="53" t="s">
        <v>33</v>
      </c>
      <c r="N147" s="53" t="s">
        <v>33</v>
      </c>
      <c r="O147" s="53" t="s">
        <v>35</v>
      </c>
      <c r="P147" s="53" t="s">
        <v>574</v>
      </c>
      <c r="Q147" s="53" t="s">
        <v>575</v>
      </c>
      <c r="R147" s="56" t="s">
        <v>38</v>
      </c>
      <c r="S147" s="53" t="s">
        <v>116</v>
      </c>
      <c r="T147" s="53" t="s">
        <v>483</v>
      </c>
      <c r="U147" s="53" t="s">
        <v>33</v>
      </c>
      <c r="V147" s="53" t="s">
        <v>38</v>
      </c>
      <c r="W147" s="89">
        <v>171012025000151</v>
      </c>
      <c r="X147" s="10"/>
    </row>
    <row r="148" spans="1:24" s="11" customFormat="1" ht="15" customHeight="1" x14ac:dyDescent="0.25">
      <c r="A148" s="65"/>
      <c r="B148" s="48">
        <v>121</v>
      </c>
      <c r="C148" s="48" t="s">
        <v>25</v>
      </c>
      <c r="D148" s="49" t="s">
        <v>440</v>
      </c>
      <c r="E148" s="49">
        <v>3</v>
      </c>
      <c r="F148" s="48" t="s">
        <v>496</v>
      </c>
      <c r="G148" s="50" t="s">
        <v>442</v>
      </c>
      <c r="H148" s="51" t="s">
        <v>576</v>
      </c>
      <c r="I148" s="85">
        <v>27724.799999999999</v>
      </c>
      <c r="J148" s="51" t="s">
        <v>577</v>
      </c>
      <c r="K148" s="49" t="s">
        <v>445</v>
      </c>
      <c r="L148" s="49" t="s">
        <v>32</v>
      </c>
      <c r="M148" s="49" t="s">
        <v>33</v>
      </c>
      <c r="N148" s="49" t="s">
        <v>34</v>
      </c>
      <c r="O148" s="49" t="s">
        <v>71</v>
      </c>
      <c r="P148" s="49" t="s">
        <v>578</v>
      </c>
      <c r="Q148" s="48" t="s">
        <v>579</v>
      </c>
      <c r="R148" s="57">
        <v>45992</v>
      </c>
      <c r="S148" s="49" t="s">
        <v>59</v>
      </c>
      <c r="T148" s="48" t="s">
        <v>580</v>
      </c>
      <c r="U148" s="49" t="s">
        <v>33</v>
      </c>
      <c r="V148" s="49" t="s">
        <v>38</v>
      </c>
      <c r="W148" s="90">
        <v>171012025000186</v>
      </c>
      <c r="X148" s="10"/>
    </row>
    <row r="149" spans="1:24" s="11" customFormat="1" ht="15" customHeight="1" x14ac:dyDescent="0.25">
      <c r="A149" s="65"/>
      <c r="B149" s="52">
        <v>122</v>
      </c>
      <c r="C149" s="52" t="s">
        <v>25</v>
      </c>
      <c r="D149" s="53" t="s">
        <v>440</v>
      </c>
      <c r="E149" s="53">
        <v>3</v>
      </c>
      <c r="F149" s="52" t="s">
        <v>470</v>
      </c>
      <c r="G149" s="54" t="s">
        <v>442</v>
      </c>
      <c r="H149" s="55" t="s">
        <v>581</v>
      </c>
      <c r="I149" s="84">
        <v>97599.96</v>
      </c>
      <c r="J149" s="55" t="s">
        <v>521</v>
      </c>
      <c r="K149" s="53" t="s">
        <v>445</v>
      </c>
      <c r="L149" s="53" t="s">
        <v>128</v>
      </c>
      <c r="M149" s="53" t="s">
        <v>33</v>
      </c>
      <c r="N149" s="53" t="s">
        <v>34</v>
      </c>
      <c r="O149" s="53" t="s">
        <v>71</v>
      </c>
      <c r="P149" s="53" t="s">
        <v>582</v>
      </c>
      <c r="Q149" s="53" t="s">
        <v>583</v>
      </c>
      <c r="R149" s="56">
        <v>46011</v>
      </c>
      <c r="S149" s="53" t="s">
        <v>59</v>
      </c>
      <c r="T149" s="53" t="s">
        <v>483</v>
      </c>
      <c r="U149" s="53" t="s">
        <v>33</v>
      </c>
      <c r="V149" s="53" t="s">
        <v>38</v>
      </c>
      <c r="W149" s="89">
        <v>171012025000183</v>
      </c>
      <c r="X149" s="10"/>
    </row>
    <row r="150" spans="1:24" s="11" customFormat="1" ht="15" customHeight="1" x14ac:dyDescent="0.25">
      <c r="A150" s="65"/>
      <c r="B150" s="48">
        <v>123</v>
      </c>
      <c r="C150" s="48" t="s">
        <v>25</v>
      </c>
      <c r="D150" s="49" t="s">
        <v>440</v>
      </c>
      <c r="E150" s="49">
        <v>3</v>
      </c>
      <c r="F150" s="48" t="s">
        <v>470</v>
      </c>
      <c r="G150" s="50" t="s">
        <v>442</v>
      </c>
      <c r="H150" s="51" t="s">
        <v>584</v>
      </c>
      <c r="I150" s="85">
        <v>120000</v>
      </c>
      <c r="J150" s="51" t="s">
        <v>521</v>
      </c>
      <c r="K150" s="49" t="s">
        <v>445</v>
      </c>
      <c r="L150" s="49" t="s">
        <v>128</v>
      </c>
      <c r="M150" s="49" t="s">
        <v>34</v>
      </c>
      <c r="N150" s="49" t="s">
        <v>34</v>
      </c>
      <c r="O150" s="49" t="s">
        <v>46</v>
      </c>
      <c r="P150" s="49" t="s">
        <v>585</v>
      </c>
      <c r="Q150" s="48"/>
      <c r="R150" s="57">
        <v>45834</v>
      </c>
      <c r="S150" s="49" t="s">
        <v>39</v>
      </c>
      <c r="T150" s="48" t="s">
        <v>483</v>
      </c>
      <c r="U150" s="49" t="s">
        <v>33</v>
      </c>
      <c r="V150" s="49" t="s">
        <v>38</v>
      </c>
      <c r="W150" s="90">
        <v>171012025000204</v>
      </c>
      <c r="X150" s="10"/>
    </row>
    <row r="151" spans="1:24" s="11" customFormat="1" ht="15" customHeight="1" x14ac:dyDescent="0.25">
      <c r="A151" s="65"/>
      <c r="B151" s="52">
        <v>124</v>
      </c>
      <c r="C151" s="52" t="s">
        <v>25</v>
      </c>
      <c r="D151" s="53" t="s">
        <v>440</v>
      </c>
      <c r="E151" s="53">
        <v>3</v>
      </c>
      <c r="F151" s="52" t="s">
        <v>470</v>
      </c>
      <c r="G151" s="54" t="s">
        <v>442</v>
      </c>
      <c r="H151" s="55" t="s">
        <v>586</v>
      </c>
      <c r="I151" s="84">
        <v>42234.55</v>
      </c>
      <c r="J151" s="55" t="s">
        <v>587</v>
      </c>
      <c r="K151" s="53" t="s">
        <v>445</v>
      </c>
      <c r="L151" s="53" t="s">
        <v>588</v>
      </c>
      <c r="M151" s="53" t="s">
        <v>33</v>
      </c>
      <c r="N151" s="53" t="s">
        <v>34</v>
      </c>
      <c r="O151" s="53" t="s">
        <v>71</v>
      </c>
      <c r="P151" s="53" t="s">
        <v>589</v>
      </c>
      <c r="Q151" s="53" t="s">
        <v>590</v>
      </c>
      <c r="R151" s="56">
        <v>45803</v>
      </c>
      <c r="S151" s="53" t="s">
        <v>59</v>
      </c>
      <c r="T151" s="53" t="s">
        <v>461</v>
      </c>
      <c r="U151" s="53" t="s">
        <v>33</v>
      </c>
      <c r="V151" s="53" t="s">
        <v>38</v>
      </c>
      <c r="W151" s="89">
        <v>171012025000173</v>
      </c>
      <c r="X151" s="10"/>
    </row>
    <row r="152" spans="1:24" s="11" customFormat="1" ht="15" customHeight="1" x14ac:dyDescent="0.25">
      <c r="A152" s="65"/>
      <c r="B152" s="48">
        <v>125</v>
      </c>
      <c r="C152" s="48" t="s">
        <v>25</v>
      </c>
      <c r="D152" s="49" t="s">
        <v>440</v>
      </c>
      <c r="E152" s="49">
        <v>3</v>
      </c>
      <c r="F152" s="48" t="s">
        <v>347</v>
      </c>
      <c r="G152" s="50" t="s">
        <v>442</v>
      </c>
      <c r="H152" s="51" t="s">
        <v>591</v>
      </c>
      <c r="I152" s="85">
        <v>8846.68</v>
      </c>
      <c r="J152" s="51" t="s">
        <v>592</v>
      </c>
      <c r="K152" s="49" t="s">
        <v>445</v>
      </c>
      <c r="L152" s="49" t="s">
        <v>128</v>
      </c>
      <c r="M152" s="49" t="s">
        <v>33</v>
      </c>
      <c r="N152" s="49" t="s">
        <v>33</v>
      </c>
      <c r="O152" s="49" t="s">
        <v>35</v>
      </c>
      <c r="P152" s="49" t="s">
        <v>593</v>
      </c>
      <c r="Q152" s="48" t="s">
        <v>594</v>
      </c>
      <c r="R152" s="57">
        <v>45920</v>
      </c>
      <c r="S152" s="49" t="s">
        <v>59</v>
      </c>
      <c r="T152" s="48" t="s">
        <v>595</v>
      </c>
      <c r="U152" s="49" t="s">
        <v>34</v>
      </c>
      <c r="V152" s="49" t="s">
        <v>34</v>
      </c>
      <c r="W152" s="90">
        <v>171012025000160</v>
      </c>
      <c r="X152" s="10"/>
    </row>
    <row r="153" spans="1:24" s="11" customFormat="1" ht="15" customHeight="1" x14ac:dyDescent="0.25">
      <c r="A153" s="65"/>
      <c r="B153" s="52">
        <v>126</v>
      </c>
      <c r="C153" s="52" t="s">
        <v>25</v>
      </c>
      <c r="D153" s="53" t="s">
        <v>440</v>
      </c>
      <c r="E153" s="53">
        <v>4</v>
      </c>
      <c r="F153" s="52" t="s">
        <v>596</v>
      </c>
      <c r="G153" s="54" t="s">
        <v>442</v>
      </c>
      <c r="H153" s="55" t="s">
        <v>597</v>
      </c>
      <c r="I153" s="84">
        <v>2436500</v>
      </c>
      <c r="J153" s="55" t="s">
        <v>598</v>
      </c>
      <c r="K153" s="53" t="s">
        <v>442</v>
      </c>
      <c r="L153" s="53" t="s">
        <v>128</v>
      </c>
      <c r="M153" s="53" t="s">
        <v>33</v>
      </c>
      <c r="N153" s="53" t="s">
        <v>33</v>
      </c>
      <c r="O153" s="53" t="s">
        <v>35</v>
      </c>
      <c r="P153" s="53" t="s">
        <v>599</v>
      </c>
      <c r="Q153" s="53" t="s">
        <v>600</v>
      </c>
      <c r="R153" s="56">
        <v>45858</v>
      </c>
      <c r="S153" s="53" t="s">
        <v>59</v>
      </c>
      <c r="T153" s="53" t="s">
        <v>601</v>
      </c>
      <c r="U153" s="53" t="s">
        <v>33</v>
      </c>
      <c r="V153" s="53" t="s">
        <v>38</v>
      </c>
      <c r="W153" s="89">
        <v>171012025000152</v>
      </c>
      <c r="X153" s="10"/>
    </row>
    <row r="154" spans="1:24" s="11" customFormat="1" ht="15" customHeight="1" x14ac:dyDescent="0.25">
      <c r="A154" s="65"/>
      <c r="B154" s="48">
        <v>127</v>
      </c>
      <c r="C154" s="48" t="s">
        <v>25</v>
      </c>
      <c r="D154" s="49" t="s">
        <v>440</v>
      </c>
      <c r="E154" s="49">
        <v>3</v>
      </c>
      <c r="F154" s="48" t="s">
        <v>525</v>
      </c>
      <c r="G154" s="50" t="s">
        <v>442</v>
      </c>
      <c r="H154" s="51" t="s">
        <v>602</v>
      </c>
      <c r="I154" s="85">
        <v>2650540.67</v>
      </c>
      <c r="J154" s="51" t="s">
        <v>603</v>
      </c>
      <c r="K154" s="49" t="s">
        <v>442</v>
      </c>
      <c r="L154" s="49" t="s">
        <v>446</v>
      </c>
      <c r="M154" s="49" t="s">
        <v>33</v>
      </c>
      <c r="N154" s="49" t="s">
        <v>34</v>
      </c>
      <c r="O154" s="49" t="s">
        <v>35</v>
      </c>
      <c r="P154" s="49" t="s">
        <v>604</v>
      </c>
      <c r="Q154" s="48" t="s">
        <v>605</v>
      </c>
      <c r="R154" s="57">
        <v>45985</v>
      </c>
      <c r="S154" s="49" t="s">
        <v>116</v>
      </c>
      <c r="T154" s="48" t="s">
        <v>483</v>
      </c>
      <c r="U154" s="49" t="s">
        <v>33</v>
      </c>
      <c r="V154" s="49" t="s">
        <v>38</v>
      </c>
      <c r="W154" s="90">
        <v>171012025000179</v>
      </c>
      <c r="X154" s="10"/>
    </row>
    <row r="155" spans="1:24" s="11" customFormat="1" ht="15" customHeight="1" x14ac:dyDescent="0.25">
      <c r="A155" s="65"/>
      <c r="B155" s="52">
        <v>128.1</v>
      </c>
      <c r="C155" s="52" t="s">
        <v>25</v>
      </c>
      <c r="D155" s="53" t="s">
        <v>440</v>
      </c>
      <c r="E155" s="53">
        <v>3</v>
      </c>
      <c r="F155" s="52" t="s">
        <v>525</v>
      </c>
      <c r="G155" s="54" t="s">
        <v>442</v>
      </c>
      <c r="H155" s="55" t="s">
        <v>606</v>
      </c>
      <c r="I155" s="84">
        <v>3299380</v>
      </c>
      <c r="J155" s="55" t="s">
        <v>607</v>
      </c>
      <c r="K155" s="53" t="s">
        <v>445</v>
      </c>
      <c r="L155" s="53" t="s">
        <v>446</v>
      </c>
      <c r="M155" s="53" t="s">
        <v>34</v>
      </c>
      <c r="N155" s="53" t="s">
        <v>34</v>
      </c>
      <c r="O155" s="53" t="s">
        <v>46</v>
      </c>
      <c r="P155" s="53" t="s">
        <v>608</v>
      </c>
      <c r="Q155" s="53" t="s">
        <v>609</v>
      </c>
      <c r="R155" s="56">
        <v>45828</v>
      </c>
      <c r="S155" s="53" t="s">
        <v>59</v>
      </c>
      <c r="T155" s="53" t="s">
        <v>610</v>
      </c>
      <c r="U155" s="53" t="s">
        <v>33</v>
      </c>
      <c r="V155" s="53" t="s">
        <v>38</v>
      </c>
      <c r="W155" s="89">
        <v>171012025000178</v>
      </c>
      <c r="X155" s="10"/>
    </row>
    <row r="156" spans="1:24" s="11" customFormat="1" ht="15" customHeight="1" x14ac:dyDescent="0.25">
      <c r="A156" s="65"/>
      <c r="B156" s="48">
        <v>128.19999999999999</v>
      </c>
      <c r="C156" s="48" t="s">
        <v>25</v>
      </c>
      <c r="D156" s="49" t="s">
        <v>440</v>
      </c>
      <c r="E156" s="49">
        <v>3</v>
      </c>
      <c r="F156" s="48" t="s">
        <v>441</v>
      </c>
      <c r="G156" s="50" t="s">
        <v>442</v>
      </c>
      <c r="H156" s="51" t="s">
        <v>611</v>
      </c>
      <c r="I156" s="85">
        <v>198560</v>
      </c>
      <c r="J156" s="51" t="s">
        <v>612</v>
      </c>
      <c r="K156" s="49" t="s">
        <v>445</v>
      </c>
      <c r="L156" s="49" t="s">
        <v>446</v>
      </c>
      <c r="M156" s="49" t="s">
        <v>34</v>
      </c>
      <c r="N156" s="49" t="s">
        <v>34</v>
      </c>
      <c r="O156" s="49" t="s">
        <v>46</v>
      </c>
      <c r="P156" s="49" t="s">
        <v>608</v>
      </c>
      <c r="Q156" s="48" t="s">
        <v>609</v>
      </c>
      <c r="R156" s="57">
        <v>45828</v>
      </c>
      <c r="S156" s="49" t="s">
        <v>116</v>
      </c>
      <c r="T156" s="48" t="s">
        <v>610</v>
      </c>
      <c r="U156" s="49" t="s">
        <v>33</v>
      </c>
      <c r="V156" s="49" t="s">
        <v>38</v>
      </c>
      <c r="W156" s="90">
        <v>171012025000178</v>
      </c>
      <c r="X156" s="10"/>
    </row>
    <row r="157" spans="1:24" s="11" customFormat="1" ht="15" customHeight="1" x14ac:dyDescent="0.25">
      <c r="A157" s="65"/>
      <c r="B157" s="52"/>
      <c r="C157" s="52"/>
      <c r="D157" s="53"/>
      <c r="E157" s="53"/>
      <c r="F157" s="52"/>
      <c r="G157" s="54"/>
      <c r="H157" s="55" t="s">
        <v>157</v>
      </c>
      <c r="I157" s="84"/>
      <c r="J157" s="55"/>
      <c r="K157" s="53"/>
      <c r="L157" s="53"/>
      <c r="M157" s="53"/>
      <c r="N157" s="53"/>
      <c r="O157" s="53"/>
      <c r="P157" s="53"/>
      <c r="Q157" s="53"/>
      <c r="R157" s="56"/>
      <c r="S157" s="53"/>
      <c r="T157" s="53"/>
      <c r="U157" s="53"/>
      <c r="V157" s="53"/>
      <c r="W157" s="89" t="s">
        <v>68</v>
      </c>
      <c r="X157" s="10"/>
    </row>
    <row r="158" spans="1:24" s="11" customFormat="1" ht="15" customHeight="1" x14ac:dyDescent="0.25">
      <c r="A158" s="65"/>
      <c r="B158" s="48">
        <v>130</v>
      </c>
      <c r="C158" s="48" t="s">
        <v>25</v>
      </c>
      <c r="D158" s="49" t="s">
        <v>440</v>
      </c>
      <c r="E158" s="49">
        <v>4</v>
      </c>
      <c r="F158" s="48" t="s">
        <v>596</v>
      </c>
      <c r="G158" s="50" t="s">
        <v>442</v>
      </c>
      <c r="H158" s="51" t="s">
        <v>613</v>
      </c>
      <c r="I158" s="85">
        <v>657000</v>
      </c>
      <c r="J158" s="51" t="s">
        <v>598</v>
      </c>
      <c r="K158" s="49" t="s">
        <v>442</v>
      </c>
      <c r="L158" s="49" t="s">
        <v>128</v>
      </c>
      <c r="M158" s="49" t="s">
        <v>33</v>
      </c>
      <c r="N158" s="49" t="s">
        <v>33</v>
      </c>
      <c r="O158" s="49" t="s">
        <v>35</v>
      </c>
      <c r="P158" s="49" t="s">
        <v>614</v>
      </c>
      <c r="Q158" s="48" t="s">
        <v>615</v>
      </c>
      <c r="R158" s="57">
        <v>45858</v>
      </c>
      <c r="S158" s="49" t="s">
        <v>59</v>
      </c>
      <c r="T158" s="48" t="s">
        <v>616</v>
      </c>
      <c r="U158" s="49" t="s">
        <v>33</v>
      </c>
      <c r="V158" s="49" t="s">
        <v>38</v>
      </c>
      <c r="W158" s="90">
        <v>171012025000161</v>
      </c>
      <c r="X158" s="10"/>
    </row>
    <row r="159" spans="1:24" s="11" customFormat="1" ht="15" customHeight="1" x14ac:dyDescent="0.25">
      <c r="A159" s="65"/>
      <c r="B159" s="52">
        <v>131</v>
      </c>
      <c r="C159" s="52" t="s">
        <v>25</v>
      </c>
      <c r="D159" s="53" t="s">
        <v>440</v>
      </c>
      <c r="E159" s="53">
        <v>3</v>
      </c>
      <c r="F159" s="52" t="s">
        <v>559</v>
      </c>
      <c r="G159" s="54" t="s">
        <v>442</v>
      </c>
      <c r="H159" s="55" t="s">
        <v>617</v>
      </c>
      <c r="I159" s="84">
        <v>1566932.14</v>
      </c>
      <c r="J159" s="55"/>
      <c r="K159" s="53" t="s">
        <v>445</v>
      </c>
      <c r="L159" s="53" t="s">
        <v>128</v>
      </c>
      <c r="M159" s="53" t="s">
        <v>34</v>
      </c>
      <c r="N159" s="53" t="s">
        <v>33</v>
      </c>
      <c r="O159" s="53" t="s">
        <v>46</v>
      </c>
      <c r="P159" s="53" t="s">
        <v>618</v>
      </c>
      <c r="Q159" s="53"/>
      <c r="R159" s="56">
        <v>45889</v>
      </c>
      <c r="S159" s="53" t="s">
        <v>59</v>
      </c>
      <c r="T159" s="53" t="s">
        <v>466</v>
      </c>
      <c r="U159" s="53" t="s">
        <v>33</v>
      </c>
      <c r="V159" s="53" t="s">
        <v>38</v>
      </c>
      <c r="W159" s="89">
        <v>171012025000162</v>
      </c>
      <c r="X159" s="10"/>
    </row>
    <row r="160" spans="1:24" s="11" customFormat="1" ht="15" customHeight="1" x14ac:dyDescent="0.25">
      <c r="A160" s="65"/>
      <c r="B160" s="48">
        <v>132</v>
      </c>
      <c r="C160" s="48" t="s">
        <v>25</v>
      </c>
      <c r="D160" s="49" t="s">
        <v>440</v>
      </c>
      <c r="E160" s="49">
        <v>3</v>
      </c>
      <c r="F160" s="48" t="s">
        <v>559</v>
      </c>
      <c r="G160" s="50" t="s">
        <v>442</v>
      </c>
      <c r="H160" s="51" t="s">
        <v>619</v>
      </c>
      <c r="I160" s="85">
        <v>1500000</v>
      </c>
      <c r="J160" s="51"/>
      <c r="K160" s="49" t="s">
        <v>445</v>
      </c>
      <c r="L160" s="49" t="s">
        <v>128</v>
      </c>
      <c r="M160" s="49" t="s">
        <v>34</v>
      </c>
      <c r="N160" s="49" t="s">
        <v>33</v>
      </c>
      <c r="O160" s="49" t="s">
        <v>66</v>
      </c>
      <c r="P160" s="49" t="s">
        <v>620</v>
      </c>
      <c r="Q160" s="48"/>
      <c r="R160" s="57">
        <v>45918</v>
      </c>
      <c r="S160" s="49" t="s">
        <v>59</v>
      </c>
      <c r="T160" s="48" t="s">
        <v>621</v>
      </c>
      <c r="U160" s="49" t="s">
        <v>33</v>
      </c>
      <c r="V160" s="49" t="s">
        <v>38</v>
      </c>
      <c r="W160" s="90">
        <v>171012025000169</v>
      </c>
      <c r="X160" s="10"/>
    </row>
    <row r="161" spans="1:24" s="11" customFormat="1" ht="15" customHeight="1" x14ac:dyDescent="0.25">
      <c r="A161" s="65"/>
      <c r="B161" s="52">
        <v>133</v>
      </c>
      <c r="C161" s="52" t="s">
        <v>25</v>
      </c>
      <c r="D161" s="53" t="s">
        <v>440</v>
      </c>
      <c r="E161" s="53">
        <v>3</v>
      </c>
      <c r="F161" s="52" t="s">
        <v>478</v>
      </c>
      <c r="G161" s="54" t="s">
        <v>442</v>
      </c>
      <c r="H161" s="55" t="s">
        <v>622</v>
      </c>
      <c r="I161" s="84">
        <v>331951</v>
      </c>
      <c r="J161" s="55" t="s">
        <v>623</v>
      </c>
      <c r="K161" s="53" t="s">
        <v>445</v>
      </c>
      <c r="L161" s="53" t="s">
        <v>446</v>
      </c>
      <c r="M161" s="53" t="s">
        <v>34</v>
      </c>
      <c r="N161" s="53" t="s">
        <v>34</v>
      </c>
      <c r="O161" s="53" t="s">
        <v>46</v>
      </c>
      <c r="P161" s="53" t="s">
        <v>624</v>
      </c>
      <c r="Q161" s="99" t="s">
        <v>625</v>
      </c>
      <c r="R161" s="56">
        <v>45771</v>
      </c>
      <c r="S161" s="53" t="s">
        <v>59</v>
      </c>
      <c r="T161" s="53" t="s">
        <v>483</v>
      </c>
      <c r="U161" s="53" t="s">
        <v>33</v>
      </c>
      <c r="V161" s="53" t="s">
        <v>38</v>
      </c>
      <c r="W161" s="89">
        <v>171012025000170</v>
      </c>
      <c r="X161" s="10"/>
    </row>
    <row r="162" spans="1:24" s="11" customFormat="1" ht="15" customHeight="1" x14ac:dyDescent="0.25">
      <c r="A162" s="65"/>
      <c r="B162" s="48">
        <v>134.1</v>
      </c>
      <c r="C162" s="48" t="s">
        <v>25</v>
      </c>
      <c r="D162" s="49" t="s">
        <v>440</v>
      </c>
      <c r="E162" s="49">
        <v>3</v>
      </c>
      <c r="F162" s="48" t="s">
        <v>539</v>
      </c>
      <c r="G162" s="50" t="s">
        <v>442</v>
      </c>
      <c r="H162" s="51" t="s">
        <v>626</v>
      </c>
      <c r="I162" s="85">
        <v>413378.64</v>
      </c>
      <c r="J162" s="51" t="s">
        <v>627</v>
      </c>
      <c r="K162" s="49" t="s">
        <v>445</v>
      </c>
      <c r="L162" s="49" t="s">
        <v>446</v>
      </c>
      <c r="M162" s="49" t="s">
        <v>34</v>
      </c>
      <c r="N162" s="49" t="s">
        <v>34</v>
      </c>
      <c r="O162" s="49" t="s">
        <v>66</v>
      </c>
      <c r="P162" s="49" t="s">
        <v>628</v>
      </c>
      <c r="Q162" s="48"/>
      <c r="R162" s="57">
        <v>45741</v>
      </c>
      <c r="S162" s="49" t="s">
        <v>59</v>
      </c>
      <c r="T162" s="48" t="s">
        <v>461</v>
      </c>
      <c r="U162" s="49" t="s">
        <v>33</v>
      </c>
      <c r="V162" s="49" t="s">
        <v>38</v>
      </c>
      <c r="W162" s="100">
        <v>171012025000244</v>
      </c>
      <c r="X162" s="10"/>
    </row>
    <row r="163" spans="1:24" s="11" customFormat="1" ht="15" customHeight="1" x14ac:dyDescent="0.25">
      <c r="A163" s="65"/>
      <c r="B163" s="52">
        <v>134.19999999999999</v>
      </c>
      <c r="C163" s="52" t="s">
        <v>25</v>
      </c>
      <c r="D163" s="53" t="s">
        <v>440</v>
      </c>
      <c r="E163" s="53">
        <v>3</v>
      </c>
      <c r="F163" s="52" t="s">
        <v>539</v>
      </c>
      <c r="G163" s="54" t="s">
        <v>442</v>
      </c>
      <c r="H163" s="55" t="s">
        <v>629</v>
      </c>
      <c r="I163" s="84">
        <v>91958.8</v>
      </c>
      <c r="J163" s="55" t="s">
        <v>627</v>
      </c>
      <c r="K163" s="53" t="s">
        <v>445</v>
      </c>
      <c r="L163" s="53" t="s">
        <v>446</v>
      </c>
      <c r="M163" s="53" t="s">
        <v>33</v>
      </c>
      <c r="N163" s="53" t="s">
        <v>34</v>
      </c>
      <c r="O163" s="53" t="s">
        <v>35</v>
      </c>
      <c r="P163" s="53" t="s">
        <v>630</v>
      </c>
      <c r="Q163" s="53" t="s">
        <v>631</v>
      </c>
      <c r="R163" s="56">
        <v>45741</v>
      </c>
      <c r="S163" s="53" t="s">
        <v>59</v>
      </c>
      <c r="T163" s="53" t="s">
        <v>461</v>
      </c>
      <c r="U163" s="53" t="s">
        <v>33</v>
      </c>
      <c r="V163" s="53" t="s">
        <v>38</v>
      </c>
      <c r="W163" s="89">
        <v>171012025000165</v>
      </c>
      <c r="X163" s="10"/>
    </row>
    <row r="164" spans="1:24" s="11" customFormat="1" ht="15" customHeight="1" x14ac:dyDescent="0.25">
      <c r="A164" s="65"/>
      <c r="B164" s="48">
        <v>135</v>
      </c>
      <c r="C164" s="48" t="s">
        <v>25</v>
      </c>
      <c r="D164" s="49" t="s">
        <v>440</v>
      </c>
      <c r="E164" s="49">
        <v>3</v>
      </c>
      <c r="F164" s="48" t="s">
        <v>441</v>
      </c>
      <c r="G164" s="50" t="s">
        <v>442</v>
      </c>
      <c r="H164" s="51" t="s">
        <v>632</v>
      </c>
      <c r="I164" s="85">
        <v>240000</v>
      </c>
      <c r="J164" s="51"/>
      <c r="K164" s="49" t="s">
        <v>445</v>
      </c>
      <c r="L164" s="49" t="s">
        <v>446</v>
      </c>
      <c r="M164" s="49" t="s">
        <v>34</v>
      </c>
      <c r="N164" s="49" t="s">
        <v>34</v>
      </c>
      <c r="O164" s="49" t="s">
        <v>46</v>
      </c>
      <c r="P164" s="49" t="s">
        <v>585</v>
      </c>
      <c r="Q164" s="48"/>
      <c r="R164" s="57">
        <v>45834</v>
      </c>
      <c r="S164" s="49" t="s">
        <v>39</v>
      </c>
      <c r="T164" s="48" t="s">
        <v>633</v>
      </c>
      <c r="U164" s="49" t="s">
        <v>33</v>
      </c>
      <c r="V164" s="49" t="s">
        <v>38</v>
      </c>
      <c r="W164" s="90">
        <v>171012025000157</v>
      </c>
      <c r="X164" s="10"/>
    </row>
    <row r="165" spans="1:24" s="11" customFormat="1" ht="15" customHeight="1" x14ac:dyDescent="0.25">
      <c r="A165" s="65"/>
      <c r="B165" s="52">
        <v>136</v>
      </c>
      <c r="C165" s="52" t="s">
        <v>25</v>
      </c>
      <c r="D165" s="53" t="s">
        <v>440</v>
      </c>
      <c r="E165" s="53">
        <v>4</v>
      </c>
      <c r="F165" s="52" t="s">
        <v>596</v>
      </c>
      <c r="G165" s="54" t="s">
        <v>442</v>
      </c>
      <c r="H165" s="55" t="s">
        <v>634</v>
      </c>
      <c r="I165" s="84">
        <v>409380</v>
      </c>
      <c r="J165" s="55" t="s">
        <v>598</v>
      </c>
      <c r="K165" s="53" t="s">
        <v>442</v>
      </c>
      <c r="L165" s="53" t="s">
        <v>446</v>
      </c>
      <c r="M165" s="53" t="s">
        <v>33</v>
      </c>
      <c r="N165" s="53" t="s">
        <v>33</v>
      </c>
      <c r="O165" s="53" t="s">
        <v>35</v>
      </c>
      <c r="P165" s="53" t="s">
        <v>614</v>
      </c>
      <c r="Q165" s="53" t="s">
        <v>615</v>
      </c>
      <c r="R165" s="56">
        <v>45858</v>
      </c>
      <c r="S165" s="53" t="s">
        <v>59</v>
      </c>
      <c r="T165" s="53" t="s">
        <v>601</v>
      </c>
      <c r="U165" s="53" t="s">
        <v>33</v>
      </c>
      <c r="V165" s="53" t="s">
        <v>38</v>
      </c>
      <c r="W165" s="89">
        <v>171012025000158</v>
      </c>
      <c r="X165" s="10"/>
    </row>
    <row r="166" spans="1:24" s="11" customFormat="1" ht="15" customHeight="1" x14ac:dyDescent="0.25">
      <c r="A166" s="65"/>
      <c r="B166" s="48">
        <v>137</v>
      </c>
      <c r="C166" s="48" t="s">
        <v>25</v>
      </c>
      <c r="D166" s="49" t="s">
        <v>440</v>
      </c>
      <c r="E166" s="49">
        <v>3</v>
      </c>
      <c r="F166" s="48" t="s">
        <v>525</v>
      </c>
      <c r="G166" s="50" t="s">
        <v>442</v>
      </c>
      <c r="H166" s="51" t="s">
        <v>635</v>
      </c>
      <c r="I166" s="85">
        <v>139279.42000000001</v>
      </c>
      <c r="J166" s="51" t="s">
        <v>636</v>
      </c>
      <c r="K166" s="49" t="s">
        <v>445</v>
      </c>
      <c r="L166" s="49" t="s">
        <v>128</v>
      </c>
      <c r="M166" s="49" t="s">
        <v>34</v>
      </c>
      <c r="N166" s="49" t="s">
        <v>33</v>
      </c>
      <c r="O166" s="49" t="s">
        <v>46</v>
      </c>
      <c r="P166" s="49" t="s">
        <v>637</v>
      </c>
      <c r="Q166" s="99" t="s">
        <v>1073</v>
      </c>
      <c r="R166" s="57">
        <v>45950</v>
      </c>
      <c r="S166" s="49" t="s">
        <v>59</v>
      </c>
      <c r="T166" s="48" t="s">
        <v>621</v>
      </c>
      <c r="U166" s="49" t="s">
        <v>33</v>
      </c>
      <c r="V166" s="49" t="s">
        <v>38</v>
      </c>
      <c r="W166" s="90">
        <v>171012025000159</v>
      </c>
      <c r="X166" s="10"/>
    </row>
    <row r="167" spans="1:24" s="11" customFormat="1" ht="15" customHeight="1" x14ac:dyDescent="0.25">
      <c r="A167" s="65"/>
      <c r="B167" s="52">
        <v>138</v>
      </c>
      <c r="C167" s="52" t="s">
        <v>25</v>
      </c>
      <c r="D167" s="53" t="s">
        <v>440</v>
      </c>
      <c r="E167" s="53">
        <v>4</v>
      </c>
      <c r="F167" s="52" t="s">
        <v>78</v>
      </c>
      <c r="G167" s="54" t="s">
        <v>442</v>
      </c>
      <c r="H167" s="55" t="s">
        <v>638</v>
      </c>
      <c r="I167" s="84">
        <v>15000</v>
      </c>
      <c r="J167" s="55"/>
      <c r="K167" s="53" t="s">
        <v>442</v>
      </c>
      <c r="L167" s="53" t="s">
        <v>128</v>
      </c>
      <c r="M167" s="53" t="s">
        <v>34</v>
      </c>
      <c r="N167" s="53" t="s">
        <v>33</v>
      </c>
      <c r="O167" s="53" t="s">
        <v>46</v>
      </c>
      <c r="P167" s="53" t="s">
        <v>54</v>
      </c>
      <c r="Q167" s="53"/>
      <c r="R167" s="56">
        <v>45891</v>
      </c>
      <c r="S167" s="53" t="s">
        <v>59</v>
      </c>
      <c r="T167" s="53" t="s">
        <v>639</v>
      </c>
      <c r="U167" s="53" t="s">
        <v>33</v>
      </c>
      <c r="V167" s="53" t="s">
        <v>38</v>
      </c>
      <c r="W167" s="89">
        <v>171012025000198</v>
      </c>
      <c r="X167" s="10"/>
    </row>
    <row r="168" spans="1:24" s="11" customFormat="1" ht="15" customHeight="1" x14ac:dyDescent="0.25">
      <c r="A168" s="65"/>
      <c r="B168" s="48">
        <v>139</v>
      </c>
      <c r="C168" s="48" t="s">
        <v>25</v>
      </c>
      <c r="D168" s="49" t="s">
        <v>440</v>
      </c>
      <c r="E168" s="49">
        <v>4</v>
      </c>
      <c r="F168" s="48" t="s">
        <v>78</v>
      </c>
      <c r="G168" s="50" t="s">
        <v>442</v>
      </c>
      <c r="H168" s="51" t="s">
        <v>640</v>
      </c>
      <c r="I168" s="85">
        <v>5000</v>
      </c>
      <c r="J168" s="51"/>
      <c r="K168" s="49" t="s">
        <v>442</v>
      </c>
      <c r="L168" s="49" t="s">
        <v>128</v>
      </c>
      <c r="M168" s="49" t="s">
        <v>34</v>
      </c>
      <c r="N168" s="49" t="s">
        <v>33</v>
      </c>
      <c r="O168" s="49" t="s">
        <v>46</v>
      </c>
      <c r="P168" s="49" t="s">
        <v>54</v>
      </c>
      <c r="Q168" s="48"/>
      <c r="R168" s="57">
        <v>45881</v>
      </c>
      <c r="S168" s="49" t="s">
        <v>59</v>
      </c>
      <c r="T168" s="48" t="s">
        <v>641</v>
      </c>
      <c r="U168" s="49" t="s">
        <v>33</v>
      </c>
      <c r="V168" s="49" t="s">
        <v>38</v>
      </c>
      <c r="W168" s="90">
        <v>171012025000153</v>
      </c>
      <c r="X168" s="10"/>
    </row>
    <row r="169" spans="1:24" s="11" customFormat="1" ht="15" customHeight="1" x14ac:dyDescent="0.25">
      <c r="A169" s="65"/>
      <c r="B169" s="52">
        <v>140</v>
      </c>
      <c r="C169" s="52" t="s">
        <v>25</v>
      </c>
      <c r="D169" s="53" t="s">
        <v>440</v>
      </c>
      <c r="E169" s="53">
        <v>3</v>
      </c>
      <c r="F169" s="52" t="s">
        <v>525</v>
      </c>
      <c r="G169" s="54" t="s">
        <v>442</v>
      </c>
      <c r="H169" s="55" t="s">
        <v>642</v>
      </c>
      <c r="I169" s="84">
        <v>1854</v>
      </c>
      <c r="J169" s="55" t="s">
        <v>643</v>
      </c>
      <c r="K169" s="53" t="s">
        <v>464</v>
      </c>
      <c r="L169" s="53" t="s">
        <v>446</v>
      </c>
      <c r="M169" s="53" t="s">
        <v>34</v>
      </c>
      <c r="N169" s="53" t="s">
        <v>34</v>
      </c>
      <c r="O169" s="53" t="s">
        <v>66</v>
      </c>
      <c r="P169" s="53" t="s">
        <v>54</v>
      </c>
      <c r="Q169" s="53"/>
      <c r="R169" s="56">
        <v>45940</v>
      </c>
      <c r="S169" s="53" t="s">
        <v>116</v>
      </c>
      <c r="T169" s="53" t="s">
        <v>483</v>
      </c>
      <c r="U169" s="53" t="s">
        <v>34</v>
      </c>
      <c r="V169" s="76" t="s">
        <v>68</v>
      </c>
      <c r="W169" s="89">
        <v>171012025000155</v>
      </c>
      <c r="X169" s="10"/>
    </row>
    <row r="170" spans="1:24" s="11" customFormat="1" ht="15" customHeight="1" x14ac:dyDescent="0.25">
      <c r="A170" s="65"/>
      <c r="B170" s="48">
        <v>141</v>
      </c>
      <c r="C170" s="48" t="s">
        <v>25</v>
      </c>
      <c r="D170" s="49" t="s">
        <v>440</v>
      </c>
      <c r="E170" s="49">
        <v>3</v>
      </c>
      <c r="F170" s="48" t="s">
        <v>525</v>
      </c>
      <c r="G170" s="50" t="s">
        <v>442</v>
      </c>
      <c r="H170" s="51" t="s">
        <v>644</v>
      </c>
      <c r="I170" s="85">
        <v>1000</v>
      </c>
      <c r="J170" s="51" t="s">
        <v>645</v>
      </c>
      <c r="K170" s="49" t="s">
        <v>464</v>
      </c>
      <c r="L170" s="49" t="s">
        <v>446</v>
      </c>
      <c r="M170" s="49" t="s">
        <v>34</v>
      </c>
      <c r="N170" s="49" t="s">
        <v>34</v>
      </c>
      <c r="O170" s="49" t="s">
        <v>66</v>
      </c>
      <c r="P170" s="49" t="s">
        <v>54</v>
      </c>
      <c r="Q170" s="48"/>
      <c r="R170" s="57">
        <v>45940</v>
      </c>
      <c r="S170" s="49" t="s">
        <v>116</v>
      </c>
      <c r="T170" s="48" t="s">
        <v>483</v>
      </c>
      <c r="U170" s="49" t="s">
        <v>34</v>
      </c>
      <c r="V170" s="76" t="s">
        <v>68</v>
      </c>
      <c r="W170" s="90">
        <v>171012025000202</v>
      </c>
      <c r="X170" s="10"/>
    </row>
    <row r="171" spans="1:24" s="11" customFormat="1" ht="15" customHeight="1" x14ac:dyDescent="0.25">
      <c r="A171" s="65"/>
      <c r="B171" s="52">
        <v>142</v>
      </c>
      <c r="C171" s="52" t="s">
        <v>25</v>
      </c>
      <c r="D171" s="53" t="s">
        <v>646</v>
      </c>
      <c r="E171" s="53">
        <v>3</v>
      </c>
      <c r="F171" s="52" t="s">
        <v>647</v>
      </c>
      <c r="G171" s="54" t="s">
        <v>442</v>
      </c>
      <c r="H171" s="55" t="s">
        <v>648</v>
      </c>
      <c r="I171" s="84">
        <v>0</v>
      </c>
      <c r="J171" s="55" t="s">
        <v>649</v>
      </c>
      <c r="K171" s="53" t="s">
        <v>445</v>
      </c>
      <c r="L171" s="53" t="s">
        <v>588</v>
      </c>
      <c r="M171" s="53" t="s">
        <v>33</v>
      </c>
      <c r="N171" s="53" t="s">
        <v>34</v>
      </c>
      <c r="O171" s="53" t="s">
        <v>38</v>
      </c>
      <c r="P171" s="53" t="s">
        <v>650</v>
      </c>
      <c r="Q171" s="53" t="s">
        <v>651</v>
      </c>
      <c r="R171" s="56" t="s">
        <v>38</v>
      </c>
      <c r="S171" s="53" t="s">
        <v>38</v>
      </c>
      <c r="T171" s="53" t="s">
        <v>38</v>
      </c>
      <c r="U171" s="53" t="s">
        <v>33</v>
      </c>
      <c r="V171" s="53" t="s">
        <v>38</v>
      </c>
      <c r="W171" s="89">
        <v>171012025000197</v>
      </c>
      <c r="X171" s="10"/>
    </row>
    <row r="172" spans="1:24" s="11" customFormat="1" ht="15" customHeight="1" x14ac:dyDescent="0.25">
      <c r="A172" s="65"/>
      <c r="B172" s="48">
        <v>143</v>
      </c>
      <c r="C172" s="48" t="s">
        <v>25</v>
      </c>
      <c r="D172" s="49" t="s">
        <v>646</v>
      </c>
      <c r="E172" s="49">
        <v>3</v>
      </c>
      <c r="F172" s="48" t="s">
        <v>652</v>
      </c>
      <c r="G172" s="50" t="s">
        <v>442</v>
      </c>
      <c r="H172" s="51" t="s">
        <v>653</v>
      </c>
      <c r="I172" s="85">
        <v>1500000</v>
      </c>
      <c r="J172" s="51" t="s">
        <v>654</v>
      </c>
      <c r="K172" s="49" t="s">
        <v>442</v>
      </c>
      <c r="L172" s="49" t="s">
        <v>128</v>
      </c>
      <c r="M172" s="49" t="s">
        <v>33</v>
      </c>
      <c r="N172" s="49" t="s">
        <v>34</v>
      </c>
      <c r="O172" s="49" t="s">
        <v>38</v>
      </c>
      <c r="P172" s="49" t="s">
        <v>655</v>
      </c>
      <c r="Q172" s="48" t="s">
        <v>38</v>
      </c>
      <c r="R172" s="57" t="s">
        <v>38</v>
      </c>
      <c r="S172" s="49" t="s">
        <v>38</v>
      </c>
      <c r="T172" s="48" t="s">
        <v>38</v>
      </c>
      <c r="U172" s="49" t="s">
        <v>33</v>
      </c>
      <c r="V172" s="49" t="s">
        <v>38</v>
      </c>
      <c r="W172" s="90">
        <v>171012025000174</v>
      </c>
      <c r="X172" s="10"/>
    </row>
    <row r="173" spans="1:24" s="11" customFormat="1" ht="15" customHeight="1" x14ac:dyDescent="0.25">
      <c r="A173" s="65"/>
      <c r="B173" s="52">
        <v>144</v>
      </c>
      <c r="C173" s="52" t="s">
        <v>25</v>
      </c>
      <c r="D173" s="53" t="s">
        <v>646</v>
      </c>
      <c r="E173" s="53">
        <v>3</v>
      </c>
      <c r="F173" s="52" t="s">
        <v>652</v>
      </c>
      <c r="G173" s="54" t="s">
        <v>442</v>
      </c>
      <c r="H173" s="55" t="s">
        <v>656</v>
      </c>
      <c r="I173" s="84">
        <v>500000</v>
      </c>
      <c r="J173" s="55" t="s">
        <v>657</v>
      </c>
      <c r="K173" s="53" t="s">
        <v>464</v>
      </c>
      <c r="L173" s="53" t="s">
        <v>446</v>
      </c>
      <c r="M173" s="53" t="s">
        <v>33</v>
      </c>
      <c r="N173" s="53" t="s">
        <v>34</v>
      </c>
      <c r="O173" s="53" t="s">
        <v>38</v>
      </c>
      <c r="P173" s="53" t="s">
        <v>38</v>
      </c>
      <c r="Q173" s="53" t="s">
        <v>38</v>
      </c>
      <c r="R173" s="56" t="s">
        <v>38</v>
      </c>
      <c r="S173" s="53" t="s">
        <v>38</v>
      </c>
      <c r="T173" s="53" t="s">
        <v>38</v>
      </c>
      <c r="U173" s="53" t="s">
        <v>33</v>
      </c>
      <c r="V173" s="53" t="s">
        <v>38</v>
      </c>
      <c r="W173" s="89">
        <v>171012025000189</v>
      </c>
      <c r="X173" s="10"/>
    </row>
    <row r="174" spans="1:24" s="11" customFormat="1" ht="15" customHeight="1" x14ac:dyDescent="0.25">
      <c r="A174" s="65"/>
      <c r="B174" s="48">
        <v>145</v>
      </c>
      <c r="C174" s="48" t="s">
        <v>25</v>
      </c>
      <c r="D174" s="49" t="s">
        <v>658</v>
      </c>
      <c r="E174" s="49">
        <v>3</v>
      </c>
      <c r="F174" s="48" t="s">
        <v>470</v>
      </c>
      <c r="G174" s="50" t="s">
        <v>442</v>
      </c>
      <c r="H174" s="51" t="s">
        <v>659</v>
      </c>
      <c r="I174" s="85">
        <v>860000</v>
      </c>
      <c r="J174" s="51" t="s">
        <v>660</v>
      </c>
      <c r="K174" s="49" t="s">
        <v>442</v>
      </c>
      <c r="L174" s="49" t="s">
        <v>446</v>
      </c>
      <c r="M174" s="49" t="s">
        <v>33</v>
      </c>
      <c r="N174" s="49" t="s">
        <v>34</v>
      </c>
      <c r="O174" s="49" t="s">
        <v>71</v>
      </c>
      <c r="P174" s="49" t="s">
        <v>661</v>
      </c>
      <c r="Q174" s="48" t="s">
        <v>662</v>
      </c>
      <c r="R174" s="57">
        <v>45982</v>
      </c>
      <c r="S174" s="49" t="s">
        <v>39</v>
      </c>
      <c r="T174" s="48" t="s">
        <v>663</v>
      </c>
      <c r="U174" s="49" t="s">
        <v>33</v>
      </c>
      <c r="V174" s="49" t="s">
        <v>38</v>
      </c>
      <c r="W174" s="90">
        <v>171012025000193</v>
      </c>
      <c r="X174" s="10"/>
    </row>
    <row r="175" spans="1:24" s="11" customFormat="1" ht="15" customHeight="1" x14ac:dyDescent="0.25">
      <c r="A175" s="65"/>
      <c r="B175" s="52">
        <v>146</v>
      </c>
      <c r="C175" s="52" t="s">
        <v>25</v>
      </c>
      <c r="D175" s="53" t="s">
        <v>658</v>
      </c>
      <c r="E175" s="53">
        <v>3</v>
      </c>
      <c r="F175" s="52" t="s">
        <v>441</v>
      </c>
      <c r="G175" s="54" t="s">
        <v>442</v>
      </c>
      <c r="H175" s="55" t="s">
        <v>664</v>
      </c>
      <c r="I175" s="84">
        <v>532000</v>
      </c>
      <c r="J175" s="55" t="s">
        <v>665</v>
      </c>
      <c r="K175" s="53" t="s">
        <v>442</v>
      </c>
      <c r="L175" s="53" t="s">
        <v>446</v>
      </c>
      <c r="M175" s="53" t="s">
        <v>33</v>
      </c>
      <c r="N175" s="53" t="s">
        <v>34</v>
      </c>
      <c r="O175" s="53" t="s">
        <v>35</v>
      </c>
      <c r="P175" s="53" t="s">
        <v>666</v>
      </c>
      <c r="Q175" s="53" t="s">
        <v>667</v>
      </c>
      <c r="R175" s="56" t="s">
        <v>38</v>
      </c>
      <c r="S175" s="53" t="s">
        <v>39</v>
      </c>
      <c r="T175" s="53" t="s">
        <v>461</v>
      </c>
      <c r="U175" s="53" t="s">
        <v>33</v>
      </c>
      <c r="V175" s="53" t="s">
        <v>38</v>
      </c>
      <c r="W175" s="89">
        <v>171012025000175</v>
      </c>
      <c r="X175" s="10"/>
    </row>
    <row r="176" spans="1:24" s="11" customFormat="1" ht="15" customHeight="1" x14ac:dyDescent="0.25">
      <c r="A176" s="65"/>
      <c r="B176" s="48">
        <v>147</v>
      </c>
      <c r="C176" s="48" t="s">
        <v>25</v>
      </c>
      <c r="D176" s="49" t="s">
        <v>658</v>
      </c>
      <c r="E176" s="49">
        <v>3</v>
      </c>
      <c r="F176" s="48" t="s">
        <v>478</v>
      </c>
      <c r="G176" s="50" t="s">
        <v>442</v>
      </c>
      <c r="H176" s="51" t="s">
        <v>668</v>
      </c>
      <c r="I176" s="85">
        <v>0</v>
      </c>
      <c r="J176" s="51" t="s">
        <v>669</v>
      </c>
      <c r="K176" s="49" t="s">
        <v>442</v>
      </c>
      <c r="L176" s="49" t="s">
        <v>446</v>
      </c>
      <c r="M176" s="49" t="s">
        <v>34</v>
      </c>
      <c r="N176" s="49" t="s">
        <v>34</v>
      </c>
      <c r="O176" s="49" t="s">
        <v>46</v>
      </c>
      <c r="P176" s="49" t="s">
        <v>670</v>
      </c>
      <c r="Q176" s="48"/>
      <c r="R176" s="57">
        <v>45958</v>
      </c>
      <c r="S176" s="49" t="s">
        <v>39</v>
      </c>
      <c r="T176" s="48" t="s">
        <v>461</v>
      </c>
      <c r="U176" s="49" t="s">
        <v>33</v>
      </c>
      <c r="V176" s="49" t="s">
        <v>38</v>
      </c>
      <c r="W176" s="90">
        <v>171012025000156</v>
      </c>
      <c r="X176" s="10"/>
    </row>
    <row r="177" spans="1:24" s="11" customFormat="1" ht="15" customHeight="1" x14ac:dyDescent="0.25">
      <c r="A177" s="65"/>
      <c r="B177" s="52">
        <v>148</v>
      </c>
      <c r="C177" s="52" t="s">
        <v>25</v>
      </c>
      <c r="D177" s="53" t="s">
        <v>658</v>
      </c>
      <c r="E177" s="53">
        <v>3</v>
      </c>
      <c r="F177" s="52" t="s">
        <v>470</v>
      </c>
      <c r="G177" s="54" t="s">
        <v>442</v>
      </c>
      <c r="H177" s="55" t="s">
        <v>671</v>
      </c>
      <c r="I177" s="84">
        <v>29136.959999999999</v>
      </c>
      <c r="J177" s="55" t="s">
        <v>669</v>
      </c>
      <c r="K177" s="53" t="s">
        <v>442</v>
      </c>
      <c r="L177" s="53" t="s">
        <v>446</v>
      </c>
      <c r="M177" s="53" t="s">
        <v>33</v>
      </c>
      <c r="N177" s="53" t="s">
        <v>34</v>
      </c>
      <c r="O177" s="53" t="s">
        <v>35</v>
      </c>
      <c r="P177" s="53" t="s">
        <v>672</v>
      </c>
      <c r="Q177" s="53" t="s">
        <v>673</v>
      </c>
      <c r="R177" s="56" t="s">
        <v>38</v>
      </c>
      <c r="S177" s="53" t="s">
        <v>39</v>
      </c>
      <c r="T177" s="53" t="s">
        <v>461</v>
      </c>
      <c r="U177" s="53" t="s">
        <v>33</v>
      </c>
      <c r="V177" s="53" t="s">
        <v>38</v>
      </c>
      <c r="W177" s="89">
        <v>171012025000194</v>
      </c>
      <c r="X177" s="10"/>
    </row>
    <row r="178" spans="1:24" s="11" customFormat="1" ht="15" customHeight="1" x14ac:dyDescent="0.25">
      <c r="A178" s="65"/>
      <c r="B178" s="48">
        <v>149</v>
      </c>
      <c r="C178" s="48" t="s">
        <v>25</v>
      </c>
      <c r="D178" s="49" t="s">
        <v>658</v>
      </c>
      <c r="E178" s="49">
        <v>3</v>
      </c>
      <c r="F178" s="48" t="s">
        <v>674</v>
      </c>
      <c r="G178" s="50" t="s">
        <v>442</v>
      </c>
      <c r="H178" s="51" t="s">
        <v>675</v>
      </c>
      <c r="I178" s="85">
        <v>20000</v>
      </c>
      <c r="J178" s="51" t="s">
        <v>676</v>
      </c>
      <c r="K178" s="49" t="s">
        <v>442</v>
      </c>
      <c r="L178" s="49" t="s">
        <v>446</v>
      </c>
      <c r="M178" s="49" t="s">
        <v>33</v>
      </c>
      <c r="N178" s="49" t="s">
        <v>34</v>
      </c>
      <c r="O178" s="49" t="s">
        <v>35</v>
      </c>
      <c r="P178" s="49" t="s">
        <v>677</v>
      </c>
      <c r="Q178" s="48" t="s">
        <v>678</v>
      </c>
      <c r="R178" s="57" t="s">
        <v>38</v>
      </c>
      <c r="S178" s="49" t="s">
        <v>59</v>
      </c>
      <c r="T178" s="48" t="s">
        <v>679</v>
      </c>
      <c r="U178" s="49" t="s">
        <v>34</v>
      </c>
      <c r="V178" s="49" t="s">
        <v>33</v>
      </c>
      <c r="W178" s="90">
        <v>171012025000195</v>
      </c>
      <c r="X178" s="10"/>
    </row>
    <row r="179" spans="1:24" s="11" customFormat="1" ht="15" customHeight="1" x14ac:dyDescent="0.25">
      <c r="A179" s="65"/>
      <c r="B179" s="52">
        <v>150</v>
      </c>
      <c r="C179" s="52" t="s">
        <v>25</v>
      </c>
      <c r="D179" s="53" t="s">
        <v>658</v>
      </c>
      <c r="E179" s="53">
        <v>3</v>
      </c>
      <c r="F179" s="52" t="s">
        <v>441</v>
      </c>
      <c r="G179" s="54" t="s">
        <v>442</v>
      </c>
      <c r="H179" s="55" t="s">
        <v>680</v>
      </c>
      <c r="I179" s="84">
        <v>0</v>
      </c>
      <c r="J179" s="55" t="s">
        <v>681</v>
      </c>
      <c r="K179" s="53" t="s">
        <v>442</v>
      </c>
      <c r="L179" s="53" t="s">
        <v>446</v>
      </c>
      <c r="M179" s="53" t="s">
        <v>34</v>
      </c>
      <c r="N179" s="53" t="s">
        <v>34</v>
      </c>
      <c r="O179" s="53" t="s">
        <v>46</v>
      </c>
      <c r="P179" s="53" t="s">
        <v>54</v>
      </c>
      <c r="Q179" s="53"/>
      <c r="R179" s="56">
        <v>45928</v>
      </c>
      <c r="S179" s="53" t="s">
        <v>39</v>
      </c>
      <c r="T179" s="53" t="s">
        <v>663</v>
      </c>
      <c r="U179" s="53" t="s">
        <v>33</v>
      </c>
      <c r="V179" s="53" t="s">
        <v>38</v>
      </c>
      <c r="W179" s="89">
        <v>171012025000203</v>
      </c>
      <c r="X179" s="10"/>
    </row>
    <row r="180" spans="1:24" s="11" customFormat="1" ht="15" customHeight="1" x14ac:dyDescent="0.25">
      <c r="A180" s="65"/>
      <c r="B180" s="48">
        <v>151</v>
      </c>
      <c r="C180" s="48" t="s">
        <v>25</v>
      </c>
      <c r="D180" s="49" t="s">
        <v>658</v>
      </c>
      <c r="E180" s="49">
        <v>3</v>
      </c>
      <c r="F180" s="48" t="s">
        <v>441</v>
      </c>
      <c r="G180" s="50" t="s">
        <v>442</v>
      </c>
      <c r="H180" s="51" t="s">
        <v>682</v>
      </c>
      <c r="I180" s="85">
        <v>0</v>
      </c>
      <c r="J180" s="51" t="s">
        <v>683</v>
      </c>
      <c r="K180" s="49" t="s">
        <v>442</v>
      </c>
      <c r="L180" s="49" t="s">
        <v>446</v>
      </c>
      <c r="M180" s="49" t="s">
        <v>34</v>
      </c>
      <c r="N180" s="49" t="s">
        <v>34</v>
      </c>
      <c r="O180" s="49" t="s">
        <v>46</v>
      </c>
      <c r="P180" s="49" t="s">
        <v>54</v>
      </c>
      <c r="Q180" s="48"/>
      <c r="R180" s="57">
        <v>45818</v>
      </c>
      <c r="S180" s="49" t="s">
        <v>39</v>
      </c>
      <c r="T180" s="48" t="s">
        <v>663</v>
      </c>
      <c r="U180" s="49" t="s">
        <v>33</v>
      </c>
      <c r="V180" s="49" t="s">
        <v>38</v>
      </c>
      <c r="W180" s="90">
        <v>171012025000201</v>
      </c>
      <c r="X180" s="10"/>
    </row>
    <row r="181" spans="1:24" s="11" customFormat="1" ht="15" customHeight="1" x14ac:dyDescent="0.25">
      <c r="A181" s="65"/>
      <c r="B181" s="52">
        <v>152</v>
      </c>
      <c r="C181" s="52" t="s">
        <v>25</v>
      </c>
      <c r="D181" s="53" t="s">
        <v>658</v>
      </c>
      <c r="E181" s="53">
        <v>3</v>
      </c>
      <c r="F181" s="52" t="s">
        <v>441</v>
      </c>
      <c r="G181" s="54" t="s">
        <v>442</v>
      </c>
      <c r="H181" s="55" t="s">
        <v>684</v>
      </c>
      <c r="I181" s="84">
        <v>1703000</v>
      </c>
      <c r="J181" s="55" t="s">
        <v>685</v>
      </c>
      <c r="K181" s="53" t="s">
        <v>442</v>
      </c>
      <c r="L181" s="53" t="s">
        <v>446</v>
      </c>
      <c r="M181" s="53" t="s">
        <v>33</v>
      </c>
      <c r="N181" s="53" t="s">
        <v>34</v>
      </c>
      <c r="O181" s="53" t="s">
        <v>71</v>
      </c>
      <c r="P181" s="53" t="s">
        <v>686</v>
      </c>
      <c r="Q181" s="53" t="s">
        <v>687</v>
      </c>
      <c r="R181" s="56">
        <v>45797</v>
      </c>
      <c r="S181" s="53" t="s">
        <v>39</v>
      </c>
      <c r="T181" s="53" t="s">
        <v>663</v>
      </c>
      <c r="U181" s="53" t="s">
        <v>33</v>
      </c>
      <c r="V181" s="53" t="s">
        <v>38</v>
      </c>
      <c r="W181" s="89">
        <v>171012025000196</v>
      </c>
      <c r="X181" s="10"/>
    </row>
    <row r="182" spans="1:24" s="11" customFormat="1" ht="15" customHeight="1" x14ac:dyDescent="0.25">
      <c r="A182" s="65"/>
      <c r="B182" s="48">
        <v>153</v>
      </c>
      <c r="C182" s="48" t="s">
        <v>25</v>
      </c>
      <c r="D182" s="49" t="s">
        <v>658</v>
      </c>
      <c r="E182" s="49">
        <v>3</v>
      </c>
      <c r="F182" s="48" t="s">
        <v>441</v>
      </c>
      <c r="G182" s="50" t="s">
        <v>442</v>
      </c>
      <c r="H182" s="51" t="s">
        <v>688</v>
      </c>
      <c r="I182" s="85">
        <v>0</v>
      </c>
      <c r="J182" s="51" t="s">
        <v>689</v>
      </c>
      <c r="K182" s="49" t="s">
        <v>442</v>
      </c>
      <c r="L182" s="49" t="s">
        <v>446</v>
      </c>
      <c r="M182" s="49" t="s">
        <v>34</v>
      </c>
      <c r="N182" s="49" t="s">
        <v>34</v>
      </c>
      <c r="O182" s="49" t="s">
        <v>46</v>
      </c>
      <c r="P182" s="49" t="s">
        <v>54</v>
      </c>
      <c r="Q182" s="48"/>
      <c r="R182" s="57">
        <v>45958</v>
      </c>
      <c r="S182" s="49" t="s">
        <v>39</v>
      </c>
      <c r="T182" s="48" t="s">
        <v>690</v>
      </c>
      <c r="U182" s="49" t="s">
        <v>33</v>
      </c>
      <c r="V182" s="49" t="s">
        <v>38</v>
      </c>
      <c r="W182" s="90">
        <v>171012025000163</v>
      </c>
      <c r="X182" s="10"/>
    </row>
    <row r="183" spans="1:24" s="11" customFormat="1" ht="15" customHeight="1" x14ac:dyDescent="0.25">
      <c r="A183" s="65"/>
      <c r="B183" s="52">
        <v>154</v>
      </c>
      <c r="C183" s="52" t="s">
        <v>25</v>
      </c>
      <c r="D183" s="53" t="s">
        <v>691</v>
      </c>
      <c r="E183" s="53">
        <v>3</v>
      </c>
      <c r="F183" s="52" t="s">
        <v>692</v>
      </c>
      <c r="G183" s="54" t="s">
        <v>693</v>
      </c>
      <c r="H183" s="55" t="s">
        <v>694</v>
      </c>
      <c r="I183" s="84">
        <v>1674110.4883538182</v>
      </c>
      <c r="J183" s="55" t="s">
        <v>695</v>
      </c>
      <c r="K183" s="53" t="s">
        <v>38</v>
      </c>
      <c r="L183" s="53" t="s">
        <v>696</v>
      </c>
      <c r="M183" s="53" t="s">
        <v>33</v>
      </c>
      <c r="N183" s="53" t="s">
        <v>33</v>
      </c>
      <c r="O183" s="53" t="s">
        <v>35</v>
      </c>
      <c r="P183" s="53" t="s">
        <v>697</v>
      </c>
      <c r="Q183" s="53"/>
      <c r="R183" s="56" t="s">
        <v>38</v>
      </c>
      <c r="S183" s="53" t="s">
        <v>39</v>
      </c>
      <c r="T183" s="53" t="s">
        <v>698</v>
      </c>
      <c r="U183" s="53" t="s">
        <v>33</v>
      </c>
      <c r="V183" s="53" t="s">
        <v>38</v>
      </c>
      <c r="W183" s="89">
        <v>171012025000123</v>
      </c>
      <c r="X183" s="10"/>
    </row>
    <row r="184" spans="1:24" s="11" customFormat="1" ht="15" customHeight="1" x14ac:dyDescent="0.25">
      <c r="A184" s="65"/>
      <c r="B184" s="48">
        <v>155</v>
      </c>
      <c r="C184" s="48" t="s">
        <v>25</v>
      </c>
      <c r="D184" s="49" t="s">
        <v>691</v>
      </c>
      <c r="E184" s="49">
        <v>3</v>
      </c>
      <c r="F184" s="48" t="s">
        <v>210</v>
      </c>
      <c r="G184" s="50" t="s">
        <v>693</v>
      </c>
      <c r="H184" s="51" t="s">
        <v>699</v>
      </c>
      <c r="I184" s="85">
        <v>286349.63598469045</v>
      </c>
      <c r="J184" s="51" t="s">
        <v>700</v>
      </c>
      <c r="K184" s="49" t="s">
        <v>38</v>
      </c>
      <c r="L184" s="49" t="s">
        <v>696</v>
      </c>
      <c r="M184" s="49" t="s">
        <v>33</v>
      </c>
      <c r="N184" s="49" t="s">
        <v>33</v>
      </c>
      <c r="O184" s="49" t="s">
        <v>71</v>
      </c>
      <c r="P184" s="49" t="s">
        <v>701</v>
      </c>
      <c r="Q184" s="48"/>
      <c r="R184" s="57">
        <v>45870</v>
      </c>
      <c r="S184" s="49" t="s">
        <v>116</v>
      </c>
      <c r="T184" s="48" t="s">
        <v>702</v>
      </c>
      <c r="U184" s="49" t="s">
        <v>33</v>
      </c>
      <c r="V184" s="49" t="s">
        <v>38</v>
      </c>
      <c r="W184" s="90">
        <v>171012025000120</v>
      </c>
      <c r="X184" s="10"/>
    </row>
    <row r="185" spans="1:24" s="11" customFormat="1" ht="15" customHeight="1" x14ac:dyDescent="0.25">
      <c r="A185" s="65"/>
      <c r="B185" s="52">
        <v>156</v>
      </c>
      <c r="C185" s="52" t="s">
        <v>25</v>
      </c>
      <c r="D185" s="53" t="s">
        <v>691</v>
      </c>
      <c r="E185" s="53">
        <v>3</v>
      </c>
      <c r="F185" s="52" t="s">
        <v>210</v>
      </c>
      <c r="G185" s="54" t="s">
        <v>693</v>
      </c>
      <c r="H185" s="55" t="s">
        <v>703</v>
      </c>
      <c r="I185" s="84">
        <v>308.08227655613371</v>
      </c>
      <c r="J185" s="55" t="s">
        <v>704</v>
      </c>
      <c r="K185" s="53" t="s">
        <v>38</v>
      </c>
      <c r="L185" s="53" t="s">
        <v>696</v>
      </c>
      <c r="M185" s="53" t="s">
        <v>33</v>
      </c>
      <c r="N185" s="53" t="s">
        <v>33</v>
      </c>
      <c r="O185" s="53" t="s">
        <v>71</v>
      </c>
      <c r="P185" s="53" t="s">
        <v>705</v>
      </c>
      <c r="Q185" s="53" t="s">
        <v>706</v>
      </c>
      <c r="R185" s="56">
        <v>45870</v>
      </c>
      <c r="S185" s="53" t="s">
        <v>59</v>
      </c>
      <c r="T185" s="53" t="s">
        <v>702</v>
      </c>
      <c r="U185" s="53" t="s">
        <v>34</v>
      </c>
      <c r="V185" s="53" t="s">
        <v>34</v>
      </c>
      <c r="W185" s="89">
        <v>171012025000122</v>
      </c>
      <c r="X185" s="10"/>
    </row>
    <row r="186" spans="1:24" s="11" customFormat="1" ht="15" customHeight="1" x14ac:dyDescent="0.25">
      <c r="A186" s="65"/>
      <c r="B186" s="48">
        <v>157</v>
      </c>
      <c r="C186" s="48" t="s">
        <v>25</v>
      </c>
      <c r="D186" s="49" t="s">
        <v>691</v>
      </c>
      <c r="E186" s="49">
        <v>3</v>
      </c>
      <c r="F186" s="48" t="s">
        <v>707</v>
      </c>
      <c r="G186" s="50" t="s">
        <v>693</v>
      </c>
      <c r="H186" s="51" t="s">
        <v>708</v>
      </c>
      <c r="I186" s="85">
        <v>39231.79338493527</v>
      </c>
      <c r="J186" s="51" t="s">
        <v>709</v>
      </c>
      <c r="K186" s="49" t="s">
        <v>38</v>
      </c>
      <c r="L186" s="49" t="s">
        <v>710</v>
      </c>
      <c r="M186" s="49" t="s">
        <v>33</v>
      </c>
      <c r="N186" s="49" t="s">
        <v>33</v>
      </c>
      <c r="O186" s="49" t="s">
        <v>71</v>
      </c>
      <c r="P186" s="49" t="s">
        <v>711</v>
      </c>
      <c r="Q186" s="48" t="s">
        <v>712</v>
      </c>
      <c r="R186" s="57">
        <v>45696</v>
      </c>
      <c r="S186" s="49" t="s">
        <v>59</v>
      </c>
      <c r="T186" s="48" t="s">
        <v>109</v>
      </c>
      <c r="U186" s="49" t="s">
        <v>33</v>
      </c>
      <c r="V186" s="49" t="s">
        <v>38</v>
      </c>
      <c r="W186" s="90">
        <v>171012025000121</v>
      </c>
      <c r="X186" s="10"/>
    </row>
    <row r="187" spans="1:24" s="11" customFormat="1" ht="15" customHeight="1" x14ac:dyDescent="0.25">
      <c r="A187" s="65"/>
      <c r="B187" s="52">
        <v>158</v>
      </c>
      <c r="C187" s="52" t="s">
        <v>25</v>
      </c>
      <c r="D187" s="53" t="s">
        <v>713</v>
      </c>
      <c r="E187" s="53">
        <v>3</v>
      </c>
      <c r="F187" s="52" t="s">
        <v>714</v>
      </c>
      <c r="G187" s="54" t="s">
        <v>715</v>
      </c>
      <c r="H187" s="55" t="s">
        <v>716</v>
      </c>
      <c r="I187" s="84">
        <f>472683.96</f>
        <v>472683.96</v>
      </c>
      <c r="J187" s="55" t="s">
        <v>717</v>
      </c>
      <c r="K187" s="53" t="s">
        <v>38</v>
      </c>
      <c r="L187" s="53" t="s">
        <v>420</v>
      </c>
      <c r="M187" s="53" t="s">
        <v>33</v>
      </c>
      <c r="N187" s="53" t="s">
        <v>33</v>
      </c>
      <c r="O187" s="53" t="s">
        <v>38</v>
      </c>
      <c r="P187" s="53" t="s">
        <v>38</v>
      </c>
      <c r="Q187" s="53" t="s">
        <v>38</v>
      </c>
      <c r="R187" s="56" t="s">
        <v>38</v>
      </c>
      <c r="S187" s="53" t="s">
        <v>38</v>
      </c>
      <c r="T187" s="53" t="s">
        <v>51</v>
      </c>
      <c r="U187" s="53" t="s">
        <v>33</v>
      </c>
      <c r="V187" s="53" t="s">
        <v>38</v>
      </c>
      <c r="W187" s="89">
        <v>171012025000069</v>
      </c>
      <c r="X187" s="10"/>
    </row>
    <row r="188" spans="1:24" s="11" customFormat="1" ht="15" customHeight="1" x14ac:dyDescent="0.25">
      <c r="A188" s="65"/>
      <c r="B188" s="48">
        <v>159</v>
      </c>
      <c r="C188" s="48" t="s">
        <v>25</v>
      </c>
      <c r="D188" s="49" t="s">
        <v>713</v>
      </c>
      <c r="E188" s="49">
        <v>3</v>
      </c>
      <c r="F188" s="48" t="s">
        <v>48</v>
      </c>
      <c r="G188" s="50" t="s">
        <v>715</v>
      </c>
      <c r="H188" s="51" t="s">
        <v>718</v>
      </c>
      <c r="I188" s="85">
        <f>220000-58713.6</f>
        <v>161286.39999999999</v>
      </c>
      <c r="J188" s="51" t="s">
        <v>719</v>
      </c>
      <c r="K188" s="49" t="s">
        <v>38</v>
      </c>
      <c r="L188" s="49" t="s">
        <v>420</v>
      </c>
      <c r="M188" s="49" t="s">
        <v>33</v>
      </c>
      <c r="N188" s="49" t="s">
        <v>33</v>
      </c>
      <c r="O188" s="49" t="s">
        <v>38</v>
      </c>
      <c r="P188" s="49" t="s">
        <v>38</v>
      </c>
      <c r="Q188" s="48" t="s">
        <v>38</v>
      </c>
      <c r="R188" s="57" t="s">
        <v>38</v>
      </c>
      <c r="S188" s="49" t="s">
        <v>38</v>
      </c>
      <c r="T188" s="48" t="s">
        <v>51</v>
      </c>
      <c r="U188" s="49" t="s">
        <v>33</v>
      </c>
      <c r="V188" s="49" t="s">
        <v>38</v>
      </c>
      <c r="W188" s="90">
        <v>171012025000065</v>
      </c>
      <c r="X188" s="10"/>
    </row>
    <row r="189" spans="1:24" s="11" customFormat="1" ht="15" customHeight="1" x14ac:dyDescent="0.25">
      <c r="A189" s="65"/>
      <c r="B189" s="52">
        <v>160</v>
      </c>
      <c r="C189" s="52" t="s">
        <v>25</v>
      </c>
      <c r="D189" s="53" t="s">
        <v>713</v>
      </c>
      <c r="E189" s="53">
        <v>3</v>
      </c>
      <c r="F189" s="52" t="s">
        <v>714</v>
      </c>
      <c r="G189" s="54" t="s">
        <v>715</v>
      </c>
      <c r="H189" s="55" t="s">
        <v>720</v>
      </c>
      <c r="I189" s="84">
        <v>168480</v>
      </c>
      <c r="J189" s="55" t="s">
        <v>721</v>
      </c>
      <c r="K189" s="53" t="s">
        <v>38</v>
      </c>
      <c r="L189" s="53" t="s">
        <v>420</v>
      </c>
      <c r="M189" s="53" t="s">
        <v>33</v>
      </c>
      <c r="N189" s="53" t="s">
        <v>33</v>
      </c>
      <c r="O189" s="53" t="s">
        <v>38</v>
      </c>
      <c r="P189" s="53" t="s">
        <v>38</v>
      </c>
      <c r="Q189" s="53" t="s">
        <v>38</v>
      </c>
      <c r="R189" s="56" t="s">
        <v>38</v>
      </c>
      <c r="S189" s="53" t="s">
        <v>38</v>
      </c>
      <c r="T189" s="53" t="s">
        <v>38</v>
      </c>
      <c r="U189" s="53" t="s">
        <v>33</v>
      </c>
      <c r="V189" s="53" t="s">
        <v>38</v>
      </c>
      <c r="W189" s="89">
        <v>171012025000067</v>
      </c>
      <c r="X189" s="10"/>
    </row>
    <row r="190" spans="1:24" s="11" customFormat="1" ht="15" customHeight="1" x14ac:dyDescent="0.25">
      <c r="A190" s="65"/>
      <c r="B190" s="48">
        <v>161</v>
      </c>
      <c r="C190" s="48" t="s">
        <v>25</v>
      </c>
      <c r="D190" s="49" t="s">
        <v>713</v>
      </c>
      <c r="E190" s="49">
        <v>3</v>
      </c>
      <c r="F190" s="48" t="s">
        <v>48</v>
      </c>
      <c r="G190" s="50" t="s">
        <v>715</v>
      </c>
      <c r="H190" s="51" t="s">
        <v>722</v>
      </c>
      <c r="I190" s="85">
        <v>100000</v>
      </c>
      <c r="J190" s="51" t="s">
        <v>723</v>
      </c>
      <c r="K190" s="49" t="s">
        <v>38</v>
      </c>
      <c r="L190" s="49" t="s">
        <v>420</v>
      </c>
      <c r="M190" s="49" t="s">
        <v>33</v>
      </c>
      <c r="N190" s="49" t="s">
        <v>33</v>
      </c>
      <c r="O190" s="49" t="s">
        <v>38</v>
      </c>
      <c r="P190" s="49" t="s">
        <v>38</v>
      </c>
      <c r="Q190" s="48" t="s">
        <v>38</v>
      </c>
      <c r="R190" s="57" t="s">
        <v>38</v>
      </c>
      <c r="S190" s="49" t="s">
        <v>38</v>
      </c>
      <c r="T190" s="48" t="s">
        <v>51</v>
      </c>
      <c r="U190" s="49" t="s">
        <v>33</v>
      </c>
      <c r="V190" s="49" t="s">
        <v>38</v>
      </c>
      <c r="W190" s="90">
        <v>171012025000070</v>
      </c>
      <c r="X190" s="10"/>
    </row>
    <row r="191" spans="1:24" s="11" customFormat="1" ht="15" customHeight="1" x14ac:dyDescent="0.25">
      <c r="A191" s="65"/>
      <c r="B191" s="52">
        <v>162</v>
      </c>
      <c r="C191" s="52" t="s">
        <v>25</v>
      </c>
      <c r="D191" s="53" t="s">
        <v>713</v>
      </c>
      <c r="E191" s="53">
        <v>3</v>
      </c>
      <c r="F191" s="52" t="s">
        <v>714</v>
      </c>
      <c r="G191" s="54" t="s">
        <v>715</v>
      </c>
      <c r="H191" s="55" t="s">
        <v>724</v>
      </c>
      <c r="I191" s="84">
        <v>25000</v>
      </c>
      <c r="J191" s="55" t="s">
        <v>725</v>
      </c>
      <c r="K191" s="53" t="s">
        <v>38</v>
      </c>
      <c r="L191" s="53" t="s">
        <v>420</v>
      </c>
      <c r="M191" s="53" t="s">
        <v>33</v>
      </c>
      <c r="N191" s="53" t="s">
        <v>33</v>
      </c>
      <c r="O191" s="53" t="s">
        <v>38</v>
      </c>
      <c r="P191" s="53" t="s">
        <v>38</v>
      </c>
      <c r="Q191" s="53" t="s">
        <v>38</v>
      </c>
      <c r="R191" s="56" t="s">
        <v>38</v>
      </c>
      <c r="S191" s="53" t="s">
        <v>38</v>
      </c>
      <c r="T191" s="53" t="s">
        <v>51</v>
      </c>
      <c r="U191" s="53" t="s">
        <v>33</v>
      </c>
      <c r="V191" s="53" t="s">
        <v>38</v>
      </c>
      <c r="W191" s="89">
        <v>171012025000068</v>
      </c>
      <c r="X191" s="10"/>
    </row>
    <row r="192" spans="1:24" s="11" customFormat="1" ht="15" customHeight="1" x14ac:dyDescent="0.25">
      <c r="A192" s="65"/>
      <c r="B192" s="48">
        <v>163</v>
      </c>
      <c r="C192" s="48" t="s">
        <v>25</v>
      </c>
      <c r="D192" s="49" t="s">
        <v>713</v>
      </c>
      <c r="E192" s="49">
        <v>3</v>
      </c>
      <c r="F192" s="48" t="s">
        <v>714</v>
      </c>
      <c r="G192" s="50" t="s">
        <v>715</v>
      </c>
      <c r="H192" s="51" t="s">
        <v>726</v>
      </c>
      <c r="I192" s="85">
        <v>13836.04</v>
      </c>
      <c r="J192" s="51" t="s">
        <v>727</v>
      </c>
      <c r="K192" s="49" t="s">
        <v>38</v>
      </c>
      <c r="L192" s="49" t="s">
        <v>420</v>
      </c>
      <c r="M192" s="49" t="s">
        <v>728</v>
      </c>
      <c r="N192" s="49" t="s">
        <v>33</v>
      </c>
      <c r="O192" s="49" t="s">
        <v>38</v>
      </c>
      <c r="P192" s="49" t="s">
        <v>729</v>
      </c>
      <c r="Q192" s="48" t="s">
        <v>38</v>
      </c>
      <c r="R192" s="57" t="s">
        <v>38</v>
      </c>
      <c r="S192" s="49" t="s">
        <v>38</v>
      </c>
      <c r="T192" s="48" t="s">
        <v>51</v>
      </c>
      <c r="U192" s="49" t="s">
        <v>33</v>
      </c>
      <c r="V192" s="49" t="s">
        <v>38</v>
      </c>
      <c r="W192" s="90">
        <v>171012025000002</v>
      </c>
      <c r="X192" s="10"/>
    </row>
    <row r="193" spans="1:24" s="11" customFormat="1" ht="15" customHeight="1" x14ac:dyDescent="0.25">
      <c r="A193" s="65"/>
      <c r="B193" s="52">
        <v>164</v>
      </c>
      <c r="C193" s="52" t="s">
        <v>730</v>
      </c>
      <c r="D193" s="53" t="s">
        <v>731</v>
      </c>
      <c r="E193" s="53">
        <v>3</v>
      </c>
      <c r="F193" s="52" t="s">
        <v>732</v>
      </c>
      <c r="G193" s="54" t="s">
        <v>715</v>
      </c>
      <c r="H193" s="55" t="s">
        <v>733</v>
      </c>
      <c r="I193" s="84">
        <v>99000</v>
      </c>
      <c r="J193" s="55" t="s">
        <v>734</v>
      </c>
      <c r="K193" s="53" t="s">
        <v>38</v>
      </c>
      <c r="L193" s="53" t="s">
        <v>420</v>
      </c>
      <c r="M193" s="53" t="s">
        <v>33</v>
      </c>
      <c r="N193" s="53" t="s">
        <v>34</v>
      </c>
      <c r="O193" s="53" t="s">
        <v>38</v>
      </c>
      <c r="P193" s="53" t="s">
        <v>38</v>
      </c>
      <c r="Q193" s="53" t="s">
        <v>38</v>
      </c>
      <c r="R193" s="56" t="s">
        <v>38</v>
      </c>
      <c r="S193" s="53" t="s">
        <v>38</v>
      </c>
      <c r="T193" s="53" t="s">
        <v>38</v>
      </c>
      <c r="U193" s="53" t="s">
        <v>33</v>
      </c>
      <c r="V193" s="53" t="s">
        <v>38</v>
      </c>
      <c r="W193" s="89">
        <v>171012025000063</v>
      </c>
      <c r="X193" s="10"/>
    </row>
    <row r="194" spans="1:24" s="11" customFormat="1" ht="15" customHeight="1" x14ac:dyDescent="0.25">
      <c r="A194" s="65"/>
      <c r="B194" s="48">
        <v>165</v>
      </c>
      <c r="C194" s="48" t="s">
        <v>730</v>
      </c>
      <c r="D194" s="49" t="s">
        <v>735</v>
      </c>
      <c r="E194" s="49">
        <v>3</v>
      </c>
      <c r="F194" s="48" t="s">
        <v>736</v>
      </c>
      <c r="G194" s="50" t="s">
        <v>715</v>
      </c>
      <c r="H194" s="51" t="s">
        <v>737</v>
      </c>
      <c r="I194" s="85">
        <v>400000</v>
      </c>
      <c r="J194" s="51" t="s">
        <v>738</v>
      </c>
      <c r="K194" s="49" t="s">
        <v>38</v>
      </c>
      <c r="L194" s="49" t="s">
        <v>420</v>
      </c>
      <c r="M194" s="49" t="s">
        <v>33</v>
      </c>
      <c r="N194" s="49" t="s">
        <v>34</v>
      </c>
      <c r="O194" s="49" t="s">
        <v>38</v>
      </c>
      <c r="P194" s="49" t="s">
        <v>38</v>
      </c>
      <c r="Q194" s="48" t="s">
        <v>38</v>
      </c>
      <c r="R194" s="57" t="s">
        <v>38</v>
      </c>
      <c r="S194" s="49" t="s">
        <v>38</v>
      </c>
      <c r="T194" s="48" t="s">
        <v>38</v>
      </c>
      <c r="U194" s="49" t="s">
        <v>33</v>
      </c>
      <c r="V194" s="49" t="s">
        <v>38</v>
      </c>
      <c r="W194" s="90">
        <v>171012025000064</v>
      </c>
      <c r="X194" s="10"/>
    </row>
    <row r="195" spans="1:24" s="11" customFormat="1" ht="15" customHeight="1" x14ac:dyDescent="0.25">
      <c r="A195" s="65"/>
      <c r="B195" s="52">
        <v>166</v>
      </c>
      <c r="C195" s="52" t="s">
        <v>25</v>
      </c>
      <c r="D195" s="53" t="s">
        <v>739</v>
      </c>
      <c r="E195" s="53">
        <v>3</v>
      </c>
      <c r="F195" s="52" t="s">
        <v>48</v>
      </c>
      <c r="G195" s="54" t="s">
        <v>740</v>
      </c>
      <c r="H195" s="55" t="s">
        <v>741</v>
      </c>
      <c r="I195" s="84">
        <f>610146-50000</f>
        <v>560146</v>
      </c>
      <c r="J195" s="55" t="s">
        <v>742</v>
      </c>
      <c r="K195" s="53" t="s">
        <v>38</v>
      </c>
      <c r="L195" s="53" t="s">
        <v>743</v>
      </c>
      <c r="M195" s="53" t="s">
        <v>34</v>
      </c>
      <c r="N195" s="53" t="s">
        <v>33</v>
      </c>
      <c r="O195" s="53" t="s">
        <v>38</v>
      </c>
      <c r="P195" s="53" t="s">
        <v>38</v>
      </c>
      <c r="Q195" s="53" t="s">
        <v>38</v>
      </c>
      <c r="R195" s="56" t="s">
        <v>38</v>
      </c>
      <c r="S195" s="53" t="s">
        <v>38</v>
      </c>
      <c r="T195" s="53" t="s">
        <v>744</v>
      </c>
      <c r="U195" s="53" t="s">
        <v>33</v>
      </c>
      <c r="V195" s="53" t="s">
        <v>38</v>
      </c>
      <c r="W195" s="89">
        <v>171012025000208</v>
      </c>
      <c r="X195" s="10"/>
    </row>
    <row r="196" spans="1:24" s="11" customFormat="1" ht="15" customHeight="1" x14ac:dyDescent="0.25">
      <c r="A196" s="65"/>
      <c r="B196" s="48">
        <v>167</v>
      </c>
      <c r="C196" s="48" t="s">
        <v>25</v>
      </c>
      <c r="D196" s="49" t="s">
        <v>739</v>
      </c>
      <c r="E196" s="49">
        <v>3</v>
      </c>
      <c r="F196" s="48" t="s">
        <v>48</v>
      </c>
      <c r="G196" s="50" t="s">
        <v>740</v>
      </c>
      <c r="H196" s="51" t="s">
        <v>745</v>
      </c>
      <c r="I196" s="85">
        <f>225979.94-16909.94</f>
        <v>209070</v>
      </c>
      <c r="J196" s="51" t="s">
        <v>746</v>
      </c>
      <c r="K196" s="49" t="s">
        <v>38</v>
      </c>
      <c r="L196" s="49" t="s">
        <v>743</v>
      </c>
      <c r="M196" s="49" t="s">
        <v>34</v>
      </c>
      <c r="N196" s="49" t="s">
        <v>33</v>
      </c>
      <c r="O196" s="49" t="s">
        <v>38</v>
      </c>
      <c r="P196" s="49" t="s">
        <v>38</v>
      </c>
      <c r="Q196" s="48" t="s">
        <v>38</v>
      </c>
      <c r="R196" s="57" t="s">
        <v>38</v>
      </c>
      <c r="S196" s="49" t="s">
        <v>38</v>
      </c>
      <c r="T196" s="48" t="s">
        <v>51</v>
      </c>
      <c r="U196" s="49" t="s">
        <v>33</v>
      </c>
      <c r="V196" s="49" t="s">
        <v>38</v>
      </c>
      <c r="W196" s="90">
        <v>171012025000208</v>
      </c>
      <c r="X196" s="10"/>
    </row>
    <row r="197" spans="1:24" s="11" customFormat="1" ht="15" customHeight="1" x14ac:dyDescent="0.25">
      <c r="A197" s="65"/>
      <c r="B197" s="52">
        <v>168</v>
      </c>
      <c r="C197" s="52" t="s">
        <v>25</v>
      </c>
      <c r="D197" s="53" t="s">
        <v>739</v>
      </c>
      <c r="E197" s="53">
        <v>3</v>
      </c>
      <c r="F197" s="52" t="s">
        <v>48</v>
      </c>
      <c r="G197" s="54" t="s">
        <v>740</v>
      </c>
      <c r="H197" s="55" t="s">
        <v>747</v>
      </c>
      <c r="I197" s="84">
        <f>180784-50000</f>
        <v>130784</v>
      </c>
      <c r="J197" s="55" t="s">
        <v>748</v>
      </c>
      <c r="K197" s="53" t="s">
        <v>38</v>
      </c>
      <c r="L197" s="53" t="s">
        <v>743</v>
      </c>
      <c r="M197" s="53" t="s">
        <v>34</v>
      </c>
      <c r="N197" s="53" t="s">
        <v>33</v>
      </c>
      <c r="O197" s="53" t="s">
        <v>38</v>
      </c>
      <c r="P197" s="53" t="s">
        <v>38</v>
      </c>
      <c r="Q197" s="53" t="s">
        <v>38</v>
      </c>
      <c r="R197" s="56" t="s">
        <v>38</v>
      </c>
      <c r="S197" s="53" t="s">
        <v>38</v>
      </c>
      <c r="T197" s="53" t="s">
        <v>744</v>
      </c>
      <c r="U197" s="53" t="s">
        <v>33</v>
      </c>
      <c r="V197" s="53" t="s">
        <v>38</v>
      </c>
      <c r="W197" s="89">
        <v>171012025000208</v>
      </c>
      <c r="X197" s="10"/>
    </row>
    <row r="198" spans="1:24" s="11" customFormat="1" ht="15" customHeight="1" x14ac:dyDescent="0.25">
      <c r="A198" s="65"/>
      <c r="B198" s="48">
        <v>169.1</v>
      </c>
      <c r="C198" s="48" t="s">
        <v>25</v>
      </c>
      <c r="D198" s="49" t="s">
        <v>749</v>
      </c>
      <c r="E198" s="49">
        <v>3</v>
      </c>
      <c r="F198" s="48" t="s">
        <v>96</v>
      </c>
      <c r="G198" s="50" t="s">
        <v>750</v>
      </c>
      <c r="H198" s="51" t="s">
        <v>751</v>
      </c>
      <c r="I198" s="93">
        <v>6688557.4800000004</v>
      </c>
      <c r="J198" s="51" t="s">
        <v>752</v>
      </c>
      <c r="K198" s="49" t="s">
        <v>38</v>
      </c>
      <c r="L198" s="49" t="s">
        <v>32</v>
      </c>
      <c r="M198" s="49" t="s">
        <v>33</v>
      </c>
      <c r="N198" s="49" t="s">
        <v>34</v>
      </c>
      <c r="O198" s="49" t="s">
        <v>71</v>
      </c>
      <c r="P198" s="49" t="s">
        <v>753</v>
      </c>
      <c r="Q198" s="48" t="s">
        <v>754</v>
      </c>
      <c r="R198" s="57">
        <v>45702</v>
      </c>
      <c r="S198" s="49" t="s">
        <v>39</v>
      </c>
      <c r="T198" s="48" t="s">
        <v>103</v>
      </c>
      <c r="U198" s="49" t="s">
        <v>33</v>
      </c>
      <c r="V198" s="49" t="s">
        <v>38</v>
      </c>
      <c r="W198" s="90">
        <v>171012025000124</v>
      </c>
      <c r="X198" s="10"/>
    </row>
    <row r="199" spans="1:24" s="11" customFormat="1" ht="15" customHeight="1" x14ac:dyDescent="0.25">
      <c r="A199" s="65"/>
      <c r="B199" s="52">
        <v>169.2</v>
      </c>
      <c r="C199" s="52" t="s">
        <v>25</v>
      </c>
      <c r="D199" s="53" t="s">
        <v>749</v>
      </c>
      <c r="E199" s="53">
        <v>3</v>
      </c>
      <c r="F199" s="52" t="s">
        <v>325</v>
      </c>
      <c r="G199" s="54" t="s">
        <v>750</v>
      </c>
      <c r="H199" s="55" t="s">
        <v>755</v>
      </c>
      <c r="I199" s="84">
        <v>535849.12</v>
      </c>
      <c r="J199" s="55" t="s">
        <v>752</v>
      </c>
      <c r="K199" s="53" t="s">
        <v>38</v>
      </c>
      <c r="L199" s="53" t="s">
        <v>32</v>
      </c>
      <c r="M199" s="53" t="s">
        <v>33</v>
      </c>
      <c r="N199" s="53" t="s">
        <v>34</v>
      </c>
      <c r="O199" s="53" t="s">
        <v>46</v>
      </c>
      <c r="P199" s="53" t="s">
        <v>756</v>
      </c>
      <c r="Q199" s="53"/>
      <c r="R199" s="56">
        <v>46068</v>
      </c>
      <c r="S199" s="53" t="s">
        <v>39</v>
      </c>
      <c r="T199" s="53" t="s">
        <v>103</v>
      </c>
      <c r="U199" s="53" t="s">
        <v>33</v>
      </c>
      <c r="V199" s="53" t="s">
        <v>38</v>
      </c>
      <c r="W199" s="89">
        <v>171012025000124</v>
      </c>
      <c r="X199" s="10"/>
    </row>
    <row r="200" spans="1:24" s="11" customFormat="1" ht="15" customHeight="1" x14ac:dyDescent="0.25">
      <c r="A200" s="65"/>
      <c r="B200" s="48">
        <v>170</v>
      </c>
      <c r="C200" s="48" t="s">
        <v>25</v>
      </c>
      <c r="D200" s="49" t="s">
        <v>749</v>
      </c>
      <c r="E200" s="49">
        <v>3</v>
      </c>
      <c r="F200" s="48" t="s">
        <v>96</v>
      </c>
      <c r="G200" s="50" t="s">
        <v>750</v>
      </c>
      <c r="H200" s="51" t="s">
        <v>757</v>
      </c>
      <c r="I200" s="95">
        <v>1728101.52</v>
      </c>
      <c r="J200" s="51" t="s">
        <v>758</v>
      </c>
      <c r="K200" s="49" t="s">
        <v>38</v>
      </c>
      <c r="L200" s="49" t="s">
        <v>32</v>
      </c>
      <c r="M200" s="49" t="s">
        <v>33</v>
      </c>
      <c r="N200" s="49" t="s">
        <v>34</v>
      </c>
      <c r="O200" s="49" t="s">
        <v>71</v>
      </c>
      <c r="P200" s="49" t="s">
        <v>759</v>
      </c>
      <c r="Q200" s="48" t="s">
        <v>760</v>
      </c>
      <c r="R200" s="57">
        <v>45689</v>
      </c>
      <c r="S200" s="49" t="s">
        <v>39</v>
      </c>
      <c r="T200" s="48" t="s">
        <v>103</v>
      </c>
      <c r="U200" s="49" t="s">
        <v>33</v>
      </c>
      <c r="V200" s="49" t="s">
        <v>38</v>
      </c>
      <c r="W200" s="90">
        <v>171012025000125</v>
      </c>
      <c r="X200" s="10"/>
    </row>
    <row r="201" spans="1:24" s="11" customFormat="1" ht="15" customHeight="1" x14ac:dyDescent="0.25">
      <c r="A201" s="65"/>
      <c r="B201" s="52">
        <v>171.1</v>
      </c>
      <c r="C201" s="52" t="s">
        <v>25</v>
      </c>
      <c r="D201" s="53" t="s">
        <v>749</v>
      </c>
      <c r="E201" s="53">
        <v>3</v>
      </c>
      <c r="F201" s="52" t="s">
        <v>761</v>
      </c>
      <c r="G201" s="54" t="s">
        <v>750</v>
      </c>
      <c r="H201" s="55" t="s">
        <v>762</v>
      </c>
      <c r="I201" s="84">
        <v>19110</v>
      </c>
      <c r="J201" s="55" t="s">
        <v>763</v>
      </c>
      <c r="K201" s="53" t="s">
        <v>38</v>
      </c>
      <c r="L201" s="53" t="s">
        <v>32</v>
      </c>
      <c r="M201" s="53" t="s">
        <v>33</v>
      </c>
      <c r="N201" s="53" t="s">
        <v>34</v>
      </c>
      <c r="O201" s="53" t="s">
        <v>35</v>
      </c>
      <c r="P201" s="53" t="s">
        <v>764</v>
      </c>
      <c r="Q201" s="53" t="s">
        <v>765</v>
      </c>
      <c r="R201" s="56">
        <v>45823</v>
      </c>
      <c r="S201" s="53" t="s">
        <v>116</v>
      </c>
      <c r="T201" s="53" t="s">
        <v>766</v>
      </c>
      <c r="U201" s="53" t="s">
        <v>33</v>
      </c>
      <c r="V201" s="53" t="s">
        <v>38</v>
      </c>
      <c r="W201" s="89">
        <v>171012025000133</v>
      </c>
      <c r="X201" s="10"/>
    </row>
    <row r="202" spans="1:24" s="11" customFormat="1" ht="15" customHeight="1" x14ac:dyDescent="0.25">
      <c r="A202" s="65"/>
      <c r="B202" s="48">
        <v>171.2</v>
      </c>
      <c r="C202" s="48" t="s">
        <v>25</v>
      </c>
      <c r="D202" s="49" t="s">
        <v>749</v>
      </c>
      <c r="E202" s="49">
        <v>3</v>
      </c>
      <c r="F202" s="48" t="s">
        <v>761</v>
      </c>
      <c r="G202" s="50" t="s">
        <v>750</v>
      </c>
      <c r="H202" s="51" t="s">
        <v>767</v>
      </c>
      <c r="I202" s="85">
        <v>76645.5</v>
      </c>
      <c r="J202" s="51" t="s">
        <v>763</v>
      </c>
      <c r="K202" s="49" t="s">
        <v>38</v>
      </c>
      <c r="L202" s="49" t="s">
        <v>32</v>
      </c>
      <c r="M202" s="49" t="s">
        <v>33</v>
      </c>
      <c r="N202" s="49" t="s">
        <v>34</v>
      </c>
      <c r="O202" s="49" t="s">
        <v>46</v>
      </c>
      <c r="P202" s="49" t="s">
        <v>768</v>
      </c>
      <c r="Q202" s="48"/>
      <c r="R202" s="57">
        <v>45824</v>
      </c>
      <c r="S202" s="49" t="s">
        <v>116</v>
      </c>
      <c r="T202" s="48" t="s">
        <v>766</v>
      </c>
      <c r="U202" s="49" t="s">
        <v>33</v>
      </c>
      <c r="V202" s="49" t="s">
        <v>38</v>
      </c>
      <c r="W202" s="90">
        <v>171012025000133</v>
      </c>
      <c r="X202" s="10"/>
    </row>
    <row r="203" spans="1:24" s="11" customFormat="1" ht="15" customHeight="1" x14ac:dyDescent="0.25">
      <c r="A203" s="65"/>
      <c r="B203" s="52">
        <v>172</v>
      </c>
      <c r="C203" s="52" t="s">
        <v>25</v>
      </c>
      <c r="D203" s="53" t="s">
        <v>749</v>
      </c>
      <c r="E203" s="53">
        <v>3</v>
      </c>
      <c r="F203" s="52" t="s">
        <v>769</v>
      </c>
      <c r="G203" s="54" t="s">
        <v>750</v>
      </c>
      <c r="H203" s="55" t="s">
        <v>770</v>
      </c>
      <c r="I203" s="84">
        <v>26125.8</v>
      </c>
      <c r="J203" s="55" t="s">
        <v>771</v>
      </c>
      <c r="K203" s="53" t="s">
        <v>38</v>
      </c>
      <c r="L203" s="53" t="s">
        <v>772</v>
      </c>
      <c r="M203" s="53" t="s">
        <v>33</v>
      </c>
      <c r="N203" s="53" t="s">
        <v>34</v>
      </c>
      <c r="O203" s="53" t="s">
        <v>71</v>
      </c>
      <c r="P203" s="53" t="s">
        <v>773</v>
      </c>
      <c r="Q203" s="53" t="s">
        <v>774</v>
      </c>
      <c r="R203" s="56">
        <v>45961</v>
      </c>
      <c r="S203" s="53" t="s">
        <v>39</v>
      </c>
      <c r="T203" s="53" t="s">
        <v>775</v>
      </c>
      <c r="U203" s="53" t="s">
        <v>33</v>
      </c>
      <c r="V203" s="53" t="s">
        <v>38</v>
      </c>
      <c r="W203" s="89">
        <v>171012025000134</v>
      </c>
      <c r="X203" s="10"/>
    </row>
    <row r="204" spans="1:24" s="11" customFormat="1" ht="15" customHeight="1" x14ac:dyDescent="0.25">
      <c r="A204" s="65"/>
      <c r="B204" s="48">
        <v>173</v>
      </c>
      <c r="C204" s="48" t="s">
        <v>25</v>
      </c>
      <c r="D204" s="49" t="s">
        <v>749</v>
      </c>
      <c r="E204" s="49">
        <v>3</v>
      </c>
      <c r="F204" s="48" t="s">
        <v>769</v>
      </c>
      <c r="G204" s="50" t="s">
        <v>750</v>
      </c>
      <c r="H204" s="51" t="s">
        <v>776</v>
      </c>
      <c r="I204" s="85">
        <v>33444.43</v>
      </c>
      <c r="J204" s="51" t="s">
        <v>777</v>
      </c>
      <c r="K204" s="49" t="s">
        <v>38</v>
      </c>
      <c r="L204" s="49" t="s">
        <v>772</v>
      </c>
      <c r="M204" s="49" t="s">
        <v>33</v>
      </c>
      <c r="N204" s="49" t="s">
        <v>34</v>
      </c>
      <c r="O204" s="49" t="s">
        <v>71</v>
      </c>
      <c r="P204" s="49" t="s">
        <v>778</v>
      </c>
      <c r="Q204" s="48" t="s">
        <v>779</v>
      </c>
      <c r="R204" s="57">
        <v>45893</v>
      </c>
      <c r="S204" s="49" t="s">
        <v>39</v>
      </c>
      <c r="T204" s="48" t="s">
        <v>775</v>
      </c>
      <c r="U204" s="49" t="s">
        <v>33</v>
      </c>
      <c r="V204" s="49" t="s">
        <v>38</v>
      </c>
      <c r="W204" s="90">
        <v>171012025000135</v>
      </c>
      <c r="X204" s="10"/>
    </row>
    <row r="205" spans="1:24" s="11" customFormat="1" ht="15" customHeight="1" x14ac:dyDescent="0.25">
      <c r="A205" s="65"/>
      <c r="B205" s="52">
        <v>174</v>
      </c>
      <c r="C205" s="52" t="s">
        <v>25</v>
      </c>
      <c r="D205" s="53" t="s">
        <v>749</v>
      </c>
      <c r="E205" s="53">
        <v>3</v>
      </c>
      <c r="F205" s="52" t="s">
        <v>210</v>
      </c>
      <c r="G205" s="54" t="s">
        <v>750</v>
      </c>
      <c r="H205" s="55" t="s">
        <v>780</v>
      </c>
      <c r="I205" s="84">
        <f>15435+(15435*0.05)</f>
        <v>16206.75</v>
      </c>
      <c r="J205" s="55" t="s">
        <v>781</v>
      </c>
      <c r="K205" s="53" t="s">
        <v>38</v>
      </c>
      <c r="L205" s="53" t="s">
        <v>772</v>
      </c>
      <c r="M205" s="53" t="s">
        <v>33</v>
      </c>
      <c r="N205" s="53" t="s">
        <v>34</v>
      </c>
      <c r="O205" s="53" t="s">
        <v>71</v>
      </c>
      <c r="P205" s="53" t="s">
        <v>782</v>
      </c>
      <c r="Q205" s="53" t="s">
        <v>783</v>
      </c>
      <c r="R205" s="56">
        <v>45829</v>
      </c>
      <c r="S205" s="53" t="s">
        <v>116</v>
      </c>
      <c r="T205" s="53" t="s">
        <v>702</v>
      </c>
      <c r="U205" s="53" t="s">
        <v>34</v>
      </c>
      <c r="V205" s="53" t="s">
        <v>34</v>
      </c>
      <c r="W205" s="89">
        <v>171012025000136</v>
      </c>
      <c r="X205" s="10"/>
    </row>
    <row r="206" spans="1:24" s="11" customFormat="1" ht="15" customHeight="1" x14ac:dyDescent="0.25">
      <c r="A206" s="65"/>
      <c r="B206" s="48">
        <v>175</v>
      </c>
      <c r="C206" s="48" t="s">
        <v>25</v>
      </c>
      <c r="D206" s="49" t="s">
        <v>749</v>
      </c>
      <c r="E206" s="49">
        <v>3</v>
      </c>
      <c r="F206" s="48" t="s">
        <v>124</v>
      </c>
      <c r="G206" s="50" t="s">
        <v>750</v>
      </c>
      <c r="H206" s="51" t="s">
        <v>784</v>
      </c>
      <c r="I206" s="85">
        <f>200000-84000</f>
        <v>116000</v>
      </c>
      <c r="J206" s="51" t="s">
        <v>785</v>
      </c>
      <c r="K206" s="49" t="s">
        <v>38</v>
      </c>
      <c r="L206" s="49" t="s">
        <v>772</v>
      </c>
      <c r="M206" s="49" t="s">
        <v>33</v>
      </c>
      <c r="N206" s="49" t="s">
        <v>34</v>
      </c>
      <c r="O206" s="49" t="s">
        <v>38</v>
      </c>
      <c r="P206" s="49" t="s">
        <v>786</v>
      </c>
      <c r="Q206" s="48" t="s">
        <v>787</v>
      </c>
      <c r="R206" s="57" t="s">
        <v>38</v>
      </c>
      <c r="S206" s="49" t="s">
        <v>38</v>
      </c>
      <c r="T206" s="48" t="s">
        <v>474</v>
      </c>
      <c r="U206" s="49" t="s">
        <v>33</v>
      </c>
      <c r="V206" s="49" t="s">
        <v>38</v>
      </c>
      <c r="W206" s="90">
        <v>171012025000128</v>
      </c>
      <c r="X206" s="10"/>
    </row>
    <row r="207" spans="1:24" s="11" customFormat="1" ht="15" customHeight="1" x14ac:dyDescent="0.25">
      <c r="A207" s="65"/>
      <c r="B207" s="52">
        <v>176.1</v>
      </c>
      <c r="C207" s="52" t="s">
        <v>25</v>
      </c>
      <c r="D207" s="53" t="s">
        <v>749</v>
      </c>
      <c r="E207" s="53">
        <v>3</v>
      </c>
      <c r="F207" s="52" t="s">
        <v>761</v>
      </c>
      <c r="G207" s="54" t="s">
        <v>750</v>
      </c>
      <c r="H207" s="55" t="s">
        <v>788</v>
      </c>
      <c r="I207" s="84">
        <v>31760.400000000001</v>
      </c>
      <c r="J207" s="55" t="s">
        <v>789</v>
      </c>
      <c r="K207" s="53" t="s">
        <v>38</v>
      </c>
      <c r="L207" s="53" t="s">
        <v>772</v>
      </c>
      <c r="M207" s="53" t="s">
        <v>33</v>
      </c>
      <c r="N207" s="53" t="s">
        <v>34</v>
      </c>
      <c r="O207" s="53" t="s">
        <v>35</v>
      </c>
      <c r="P207" s="53" t="s">
        <v>790</v>
      </c>
      <c r="Q207" s="53" t="s">
        <v>791</v>
      </c>
      <c r="R207" s="56">
        <v>45888</v>
      </c>
      <c r="S207" s="53" t="s">
        <v>116</v>
      </c>
      <c r="T207" s="53" t="s">
        <v>766</v>
      </c>
      <c r="U207" s="53" t="s">
        <v>33</v>
      </c>
      <c r="V207" s="53" t="s">
        <v>38</v>
      </c>
      <c r="W207" s="89">
        <v>171012025000137</v>
      </c>
      <c r="X207" s="10"/>
    </row>
    <row r="208" spans="1:24" s="11" customFormat="1" ht="15" customHeight="1" x14ac:dyDescent="0.25">
      <c r="A208" s="65"/>
      <c r="B208" s="48">
        <v>176.2</v>
      </c>
      <c r="C208" s="48" t="s">
        <v>25</v>
      </c>
      <c r="D208" s="49" t="s">
        <v>749</v>
      </c>
      <c r="E208" s="49">
        <v>3</v>
      </c>
      <c r="F208" s="48" t="s">
        <v>761</v>
      </c>
      <c r="G208" s="50" t="s">
        <v>750</v>
      </c>
      <c r="H208" s="51" t="s">
        <v>792</v>
      </c>
      <c r="I208" s="85">
        <v>94446</v>
      </c>
      <c r="J208" s="51" t="s">
        <v>789</v>
      </c>
      <c r="K208" s="49" t="s">
        <v>38</v>
      </c>
      <c r="L208" s="49" t="s">
        <v>772</v>
      </c>
      <c r="M208" s="49" t="s">
        <v>33</v>
      </c>
      <c r="N208" s="49" t="s">
        <v>34</v>
      </c>
      <c r="O208" s="49" t="s">
        <v>46</v>
      </c>
      <c r="P208" s="49" t="s">
        <v>793</v>
      </c>
      <c r="Q208" s="48"/>
      <c r="R208" s="57">
        <v>45889</v>
      </c>
      <c r="S208" s="49" t="s">
        <v>116</v>
      </c>
      <c r="T208" s="48" t="s">
        <v>766</v>
      </c>
      <c r="U208" s="49" t="s">
        <v>33</v>
      </c>
      <c r="V208" s="49" t="s">
        <v>38</v>
      </c>
      <c r="W208" s="90">
        <v>171012025000137</v>
      </c>
      <c r="X208" s="10"/>
    </row>
    <row r="209" spans="1:24" s="11" customFormat="1" ht="15" customHeight="1" x14ac:dyDescent="0.25">
      <c r="A209" s="65"/>
      <c r="B209" s="52">
        <v>177</v>
      </c>
      <c r="C209" s="52" t="s">
        <v>25</v>
      </c>
      <c r="D209" s="53" t="s">
        <v>749</v>
      </c>
      <c r="E209" s="53">
        <v>3</v>
      </c>
      <c r="F209" s="52" t="s">
        <v>210</v>
      </c>
      <c r="G209" s="54" t="s">
        <v>750</v>
      </c>
      <c r="H209" s="55" t="s">
        <v>794</v>
      </c>
      <c r="I209" s="84">
        <v>42000</v>
      </c>
      <c r="J209" s="55" t="s">
        <v>795</v>
      </c>
      <c r="K209" s="53" t="s">
        <v>38</v>
      </c>
      <c r="L209" s="53" t="s">
        <v>772</v>
      </c>
      <c r="M209" s="53" t="s">
        <v>33</v>
      </c>
      <c r="N209" s="53" t="s">
        <v>34</v>
      </c>
      <c r="O209" s="53" t="s">
        <v>46</v>
      </c>
      <c r="P209" s="53" t="s">
        <v>54</v>
      </c>
      <c r="Q209" s="53"/>
      <c r="R209" s="56">
        <v>45833</v>
      </c>
      <c r="S209" s="53" t="s">
        <v>116</v>
      </c>
      <c r="T209" s="53" t="s">
        <v>796</v>
      </c>
      <c r="U209" s="53" t="s">
        <v>33</v>
      </c>
      <c r="V209" s="53" t="s">
        <v>38</v>
      </c>
      <c r="W209" s="89">
        <v>171012025000138</v>
      </c>
      <c r="X209" s="10"/>
    </row>
    <row r="210" spans="1:24" s="11" customFormat="1" ht="15" customHeight="1" x14ac:dyDescent="0.25">
      <c r="A210" s="65"/>
      <c r="B210" s="48">
        <v>178</v>
      </c>
      <c r="C210" s="48" t="s">
        <v>25</v>
      </c>
      <c r="D210" s="49" t="s">
        <v>749</v>
      </c>
      <c r="E210" s="49">
        <v>3</v>
      </c>
      <c r="F210" s="48" t="s">
        <v>210</v>
      </c>
      <c r="G210" s="50" t="s">
        <v>750</v>
      </c>
      <c r="H210" s="51" t="s">
        <v>797</v>
      </c>
      <c r="I210" s="85">
        <v>676</v>
      </c>
      <c r="J210" s="51" t="s">
        <v>798</v>
      </c>
      <c r="K210" s="49" t="s">
        <v>38</v>
      </c>
      <c r="L210" s="49" t="s">
        <v>772</v>
      </c>
      <c r="M210" s="49" t="s">
        <v>33</v>
      </c>
      <c r="N210" s="49" t="s">
        <v>34</v>
      </c>
      <c r="O210" s="49" t="s">
        <v>799</v>
      </c>
      <c r="P210" s="49" t="s">
        <v>800</v>
      </c>
      <c r="Q210" s="48"/>
      <c r="R210" s="57">
        <v>45849</v>
      </c>
      <c r="S210" s="49" t="s">
        <v>116</v>
      </c>
      <c r="T210" s="48" t="s">
        <v>796</v>
      </c>
      <c r="U210" s="49" t="s">
        <v>34</v>
      </c>
      <c r="V210" s="49" t="s">
        <v>34</v>
      </c>
      <c r="W210" s="90">
        <v>171012025000139</v>
      </c>
      <c r="X210" s="10"/>
    </row>
    <row r="211" spans="1:24" s="11" customFormat="1" ht="15" customHeight="1" x14ac:dyDescent="0.25">
      <c r="A211" s="65"/>
      <c r="B211" s="52">
        <v>179</v>
      </c>
      <c r="C211" s="52" t="s">
        <v>25</v>
      </c>
      <c r="D211" s="53" t="s">
        <v>749</v>
      </c>
      <c r="E211" s="53">
        <v>3</v>
      </c>
      <c r="F211" s="52" t="s">
        <v>210</v>
      </c>
      <c r="G211" s="54" t="s">
        <v>750</v>
      </c>
      <c r="H211" s="55" t="s">
        <v>801</v>
      </c>
      <c r="I211" s="84">
        <v>905</v>
      </c>
      <c r="J211" s="55" t="s">
        <v>798</v>
      </c>
      <c r="K211" s="53" t="s">
        <v>38</v>
      </c>
      <c r="L211" s="53" t="s">
        <v>772</v>
      </c>
      <c r="M211" s="53" t="s">
        <v>33</v>
      </c>
      <c r="N211" s="53" t="s">
        <v>34</v>
      </c>
      <c r="O211" s="53" t="s">
        <v>799</v>
      </c>
      <c r="P211" s="53" t="s">
        <v>800</v>
      </c>
      <c r="Q211" s="53"/>
      <c r="R211" s="56">
        <v>45868</v>
      </c>
      <c r="S211" s="53" t="s">
        <v>116</v>
      </c>
      <c r="T211" s="53" t="s">
        <v>796</v>
      </c>
      <c r="U211" s="53" t="s">
        <v>34</v>
      </c>
      <c r="V211" s="53" t="s">
        <v>34</v>
      </c>
      <c r="W211" s="89">
        <v>171012025000139</v>
      </c>
      <c r="X211" s="10"/>
    </row>
    <row r="212" spans="1:24" s="11" customFormat="1" ht="15" customHeight="1" x14ac:dyDescent="0.25">
      <c r="A212" s="65"/>
      <c r="B212" s="48">
        <v>180</v>
      </c>
      <c r="C212" s="48" t="s">
        <v>25</v>
      </c>
      <c r="D212" s="49" t="s">
        <v>749</v>
      </c>
      <c r="E212" s="49">
        <v>3</v>
      </c>
      <c r="F212" s="48" t="s">
        <v>210</v>
      </c>
      <c r="G212" s="50" t="s">
        <v>750</v>
      </c>
      <c r="H212" s="51" t="s">
        <v>802</v>
      </c>
      <c r="I212" s="85">
        <v>302</v>
      </c>
      <c r="J212" s="51" t="s">
        <v>803</v>
      </c>
      <c r="K212" s="49" t="s">
        <v>38</v>
      </c>
      <c r="L212" s="49" t="s">
        <v>772</v>
      </c>
      <c r="M212" s="49" t="s">
        <v>33</v>
      </c>
      <c r="N212" s="49" t="s">
        <v>34</v>
      </c>
      <c r="O212" s="49" t="s">
        <v>799</v>
      </c>
      <c r="P212" s="49" t="s">
        <v>804</v>
      </c>
      <c r="Q212" s="48"/>
      <c r="R212" s="57">
        <v>45830</v>
      </c>
      <c r="S212" s="49" t="s">
        <v>116</v>
      </c>
      <c r="T212" s="48" t="s">
        <v>796</v>
      </c>
      <c r="U212" s="49" t="s">
        <v>34</v>
      </c>
      <c r="V212" s="49" t="s">
        <v>34</v>
      </c>
      <c r="W212" s="90">
        <v>171012025000140</v>
      </c>
      <c r="X212" s="10"/>
    </row>
    <row r="213" spans="1:24" s="11" customFormat="1" ht="15" customHeight="1" x14ac:dyDescent="0.25">
      <c r="A213" s="65"/>
      <c r="B213" s="52">
        <v>181</v>
      </c>
      <c r="C213" s="52" t="s">
        <v>25</v>
      </c>
      <c r="D213" s="53" t="s">
        <v>749</v>
      </c>
      <c r="E213" s="53">
        <v>3</v>
      </c>
      <c r="F213" s="52" t="s">
        <v>769</v>
      </c>
      <c r="G213" s="54" t="s">
        <v>750</v>
      </c>
      <c r="H213" s="55" t="s">
        <v>805</v>
      </c>
      <c r="I213" s="84">
        <v>200</v>
      </c>
      <c r="J213" s="55" t="s">
        <v>806</v>
      </c>
      <c r="K213" s="53" t="s">
        <v>38</v>
      </c>
      <c r="L213" s="53" t="s">
        <v>772</v>
      </c>
      <c r="M213" s="53" t="s">
        <v>33</v>
      </c>
      <c r="N213" s="53" t="s">
        <v>34</v>
      </c>
      <c r="O213" s="53" t="s">
        <v>799</v>
      </c>
      <c r="P213" s="53" t="s">
        <v>807</v>
      </c>
      <c r="Q213" s="53"/>
      <c r="R213" s="56">
        <v>45925</v>
      </c>
      <c r="S213" s="53" t="s">
        <v>116</v>
      </c>
      <c r="T213" s="53" t="s">
        <v>808</v>
      </c>
      <c r="U213" s="53" t="s">
        <v>34</v>
      </c>
      <c r="V213" s="53" t="s">
        <v>34</v>
      </c>
      <c r="W213" s="89">
        <v>171012025000141</v>
      </c>
      <c r="X213" s="10"/>
    </row>
    <row r="214" spans="1:24" s="11" customFormat="1" ht="15" customHeight="1" x14ac:dyDescent="0.25">
      <c r="A214" s="65"/>
      <c r="B214" s="48">
        <v>182</v>
      </c>
      <c r="C214" s="48" t="s">
        <v>25</v>
      </c>
      <c r="D214" s="49" t="s">
        <v>749</v>
      </c>
      <c r="E214" s="49">
        <v>3</v>
      </c>
      <c r="F214" s="48" t="s">
        <v>210</v>
      </c>
      <c r="G214" s="50" t="s">
        <v>750</v>
      </c>
      <c r="H214" s="51" t="s">
        <v>809</v>
      </c>
      <c r="I214" s="85">
        <v>7776</v>
      </c>
      <c r="J214" s="51" t="s">
        <v>810</v>
      </c>
      <c r="K214" s="49" t="s">
        <v>38</v>
      </c>
      <c r="L214" s="49" t="s">
        <v>772</v>
      </c>
      <c r="M214" s="49" t="s">
        <v>33</v>
      </c>
      <c r="N214" s="49" t="s">
        <v>34</v>
      </c>
      <c r="O214" s="49" t="s">
        <v>71</v>
      </c>
      <c r="P214" s="49" t="s">
        <v>811</v>
      </c>
      <c r="Q214" s="48" t="s">
        <v>812</v>
      </c>
      <c r="R214" s="57">
        <v>45674</v>
      </c>
      <c r="S214" s="49" t="s">
        <v>116</v>
      </c>
      <c r="T214" s="48" t="s">
        <v>808</v>
      </c>
      <c r="U214" s="49" t="s">
        <v>34</v>
      </c>
      <c r="V214" s="49" t="s">
        <v>34</v>
      </c>
      <c r="W214" s="90">
        <v>171012025000126</v>
      </c>
      <c r="X214" s="10"/>
    </row>
    <row r="215" spans="1:24" s="11" customFormat="1" ht="15" customHeight="1" x14ac:dyDescent="0.25">
      <c r="A215" s="65"/>
      <c r="B215" s="52">
        <v>183</v>
      </c>
      <c r="C215" s="52" t="s">
        <v>25</v>
      </c>
      <c r="D215" s="53" t="s">
        <v>749</v>
      </c>
      <c r="E215" s="53">
        <v>3</v>
      </c>
      <c r="F215" s="52" t="s">
        <v>525</v>
      </c>
      <c r="G215" s="54" t="s">
        <v>750</v>
      </c>
      <c r="H215" s="55" t="s">
        <v>813</v>
      </c>
      <c r="I215" s="84">
        <f>5200+6800</f>
        <v>12000</v>
      </c>
      <c r="J215" s="55" t="s">
        <v>814</v>
      </c>
      <c r="K215" s="53" t="s">
        <v>38</v>
      </c>
      <c r="L215" s="53" t="s">
        <v>772</v>
      </c>
      <c r="M215" s="53" t="s">
        <v>33</v>
      </c>
      <c r="N215" s="53" t="s">
        <v>34</v>
      </c>
      <c r="O215" s="53" t="s">
        <v>71</v>
      </c>
      <c r="P215" s="53" t="s">
        <v>815</v>
      </c>
      <c r="Q215" s="53" t="s">
        <v>816</v>
      </c>
      <c r="R215" s="56">
        <v>45865</v>
      </c>
      <c r="S215" s="53" t="s">
        <v>39</v>
      </c>
      <c r="T215" s="53" t="s">
        <v>817</v>
      </c>
      <c r="U215" s="53" t="s">
        <v>34</v>
      </c>
      <c r="V215" s="53" t="s">
        <v>34</v>
      </c>
      <c r="W215" s="89">
        <v>171012025000132</v>
      </c>
      <c r="X215" s="10"/>
    </row>
    <row r="216" spans="1:24" s="11" customFormat="1" ht="15" customHeight="1" x14ac:dyDescent="0.25">
      <c r="A216" s="65"/>
      <c r="B216" s="48">
        <v>184</v>
      </c>
      <c r="C216" s="48" t="s">
        <v>25</v>
      </c>
      <c r="D216" s="49" t="s">
        <v>749</v>
      </c>
      <c r="E216" s="49">
        <v>3</v>
      </c>
      <c r="F216" s="48" t="s">
        <v>210</v>
      </c>
      <c r="G216" s="50" t="s">
        <v>750</v>
      </c>
      <c r="H216" s="51" t="s">
        <v>818</v>
      </c>
      <c r="I216" s="85">
        <v>2370</v>
      </c>
      <c r="J216" s="51" t="s">
        <v>819</v>
      </c>
      <c r="K216" s="49" t="s">
        <v>38</v>
      </c>
      <c r="L216" s="49" t="s">
        <v>32</v>
      </c>
      <c r="M216" s="49" t="s">
        <v>33</v>
      </c>
      <c r="N216" s="49" t="s">
        <v>34</v>
      </c>
      <c r="O216" s="49" t="s">
        <v>71</v>
      </c>
      <c r="P216" s="49" t="s">
        <v>820</v>
      </c>
      <c r="Q216" s="48" t="s">
        <v>821</v>
      </c>
      <c r="R216" s="57">
        <v>45761</v>
      </c>
      <c r="S216" s="49" t="s">
        <v>59</v>
      </c>
      <c r="T216" s="48" t="s">
        <v>822</v>
      </c>
      <c r="U216" s="49" t="s">
        <v>34</v>
      </c>
      <c r="V216" s="49" t="s">
        <v>34</v>
      </c>
      <c r="W216" s="90">
        <v>171012025000142</v>
      </c>
      <c r="X216" s="10"/>
    </row>
    <row r="217" spans="1:24" s="11" customFormat="1" ht="15" customHeight="1" x14ac:dyDescent="0.25">
      <c r="A217" s="65"/>
      <c r="B217" s="52">
        <v>185</v>
      </c>
      <c r="C217" s="52" t="s">
        <v>25</v>
      </c>
      <c r="D217" s="53" t="s">
        <v>749</v>
      </c>
      <c r="E217" s="53">
        <v>3</v>
      </c>
      <c r="F217" s="52" t="s">
        <v>525</v>
      </c>
      <c r="G217" s="54" t="s">
        <v>750</v>
      </c>
      <c r="H217" s="55" t="s">
        <v>823</v>
      </c>
      <c r="I217" s="84">
        <v>500</v>
      </c>
      <c r="J217" s="55" t="s">
        <v>824</v>
      </c>
      <c r="K217" s="53" t="s">
        <v>38</v>
      </c>
      <c r="L217" s="53" t="s">
        <v>772</v>
      </c>
      <c r="M217" s="53" t="s">
        <v>33</v>
      </c>
      <c r="N217" s="53" t="s">
        <v>34</v>
      </c>
      <c r="O217" s="53" t="s">
        <v>799</v>
      </c>
      <c r="P217" s="53" t="s">
        <v>825</v>
      </c>
      <c r="Q217" s="53"/>
      <c r="R217" s="56">
        <v>45891</v>
      </c>
      <c r="S217" s="53" t="s">
        <v>59</v>
      </c>
      <c r="T217" s="53" t="s">
        <v>826</v>
      </c>
      <c r="U217" s="53" t="s">
        <v>34</v>
      </c>
      <c r="V217" s="53" t="s">
        <v>34</v>
      </c>
      <c r="W217" s="89">
        <v>171012025000143</v>
      </c>
      <c r="X217" s="10"/>
    </row>
    <row r="218" spans="1:24" s="11" customFormat="1" ht="15" customHeight="1" x14ac:dyDescent="0.25">
      <c r="A218" s="65"/>
      <c r="B218" s="48">
        <v>186</v>
      </c>
      <c r="C218" s="48" t="s">
        <v>25</v>
      </c>
      <c r="D218" s="49" t="s">
        <v>749</v>
      </c>
      <c r="E218" s="49">
        <v>3</v>
      </c>
      <c r="F218" s="48" t="s">
        <v>478</v>
      </c>
      <c r="G218" s="50" t="s">
        <v>750</v>
      </c>
      <c r="H218" s="51" t="s">
        <v>827</v>
      </c>
      <c r="I218" s="85">
        <v>10559</v>
      </c>
      <c r="J218" s="51" t="s">
        <v>828</v>
      </c>
      <c r="K218" s="49" t="s">
        <v>38</v>
      </c>
      <c r="L218" s="49" t="s">
        <v>32</v>
      </c>
      <c r="M218" s="49" t="s">
        <v>34</v>
      </c>
      <c r="N218" s="49" t="s">
        <v>829</v>
      </c>
      <c r="O218" s="49" t="s">
        <v>799</v>
      </c>
      <c r="P218" s="49" t="s">
        <v>54</v>
      </c>
      <c r="Q218" s="48"/>
      <c r="R218" s="57">
        <v>46010</v>
      </c>
      <c r="S218" s="49" t="s">
        <v>59</v>
      </c>
      <c r="T218" s="48" t="s">
        <v>830</v>
      </c>
      <c r="U218" s="49" t="s">
        <v>34</v>
      </c>
      <c r="V218" s="76" t="s">
        <v>68</v>
      </c>
      <c r="W218" s="90">
        <v>171012025000131</v>
      </c>
      <c r="X218" s="10"/>
    </row>
    <row r="219" spans="1:24" s="11" customFormat="1" ht="15" customHeight="1" x14ac:dyDescent="0.25">
      <c r="A219" s="65"/>
      <c r="B219" s="52">
        <v>187</v>
      </c>
      <c r="C219" s="52" t="s">
        <v>25</v>
      </c>
      <c r="D219" s="53" t="s">
        <v>749</v>
      </c>
      <c r="E219" s="53">
        <v>3</v>
      </c>
      <c r="F219" s="52" t="s">
        <v>769</v>
      </c>
      <c r="G219" s="54" t="s">
        <v>750</v>
      </c>
      <c r="H219" s="55" t="s">
        <v>831</v>
      </c>
      <c r="I219" s="84">
        <v>52000</v>
      </c>
      <c r="J219" s="55" t="s">
        <v>832</v>
      </c>
      <c r="K219" s="53" t="s">
        <v>38</v>
      </c>
      <c r="L219" s="53" t="s">
        <v>772</v>
      </c>
      <c r="M219" s="53" t="s">
        <v>33</v>
      </c>
      <c r="N219" s="53" t="s">
        <v>34</v>
      </c>
      <c r="O219" s="53" t="s">
        <v>38</v>
      </c>
      <c r="P219" s="53" t="s">
        <v>833</v>
      </c>
      <c r="Q219" s="53" t="s">
        <v>834</v>
      </c>
      <c r="R219" s="56" t="s">
        <v>38</v>
      </c>
      <c r="S219" s="53" t="s">
        <v>38</v>
      </c>
      <c r="T219" s="53" t="s">
        <v>149</v>
      </c>
      <c r="U219" s="53" t="s">
        <v>33</v>
      </c>
      <c r="V219" s="53" t="s">
        <v>38</v>
      </c>
      <c r="W219" s="89">
        <v>171012025000129</v>
      </c>
      <c r="X219" s="10"/>
    </row>
    <row r="220" spans="1:24" s="11" customFormat="1" ht="15" customHeight="1" x14ac:dyDescent="0.25">
      <c r="A220" s="65"/>
      <c r="B220" s="48">
        <v>188</v>
      </c>
      <c r="C220" s="48" t="s">
        <v>25</v>
      </c>
      <c r="D220" s="49" t="s">
        <v>749</v>
      </c>
      <c r="E220" s="49">
        <v>4</v>
      </c>
      <c r="F220" s="48" t="s">
        <v>176</v>
      </c>
      <c r="G220" s="50" t="s">
        <v>750</v>
      </c>
      <c r="H220" s="51" t="s">
        <v>835</v>
      </c>
      <c r="I220" s="85">
        <v>4465</v>
      </c>
      <c r="J220" s="51" t="s">
        <v>836</v>
      </c>
      <c r="K220" s="49" t="s">
        <v>38</v>
      </c>
      <c r="L220" s="49" t="s">
        <v>32</v>
      </c>
      <c r="M220" s="49" t="s">
        <v>34</v>
      </c>
      <c r="N220" s="49" t="s">
        <v>33</v>
      </c>
      <c r="O220" s="49" t="s">
        <v>38</v>
      </c>
      <c r="P220" s="49" t="s">
        <v>38</v>
      </c>
      <c r="Q220" s="48" t="s">
        <v>38</v>
      </c>
      <c r="R220" s="57">
        <v>46288</v>
      </c>
      <c r="S220" s="49" t="s">
        <v>116</v>
      </c>
      <c r="T220" s="48" t="s">
        <v>830</v>
      </c>
      <c r="U220" s="49" t="s">
        <v>33</v>
      </c>
      <c r="V220" s="49" t="s">
        <v>38</v>
      </c>
      <c r="W220" s="90">
        <v>171012025000144</v>
      </c>
      <c r="X220" s="10"/>
    </row>
    <row r="221" spans="1:24" s="11" customFormat="1" ht="15" customHeight="1" x14ac:dyDescent="0.25">
      <c r="A221" s="65"/>
      <c r="B221" s="52">
        <v>189</v>
      </c>
      <c r="C221" s="52" t="s">
        <v>25</v>
      </c>
      <c r="D221" s="53" t="s">
        <v>26</v>
      </c>
      <c r="E221" s="53">
        <v>3</v>
      </c>
      <c r="F221" s="52" t="s">
        <v>196</v>
      </c>
      <c r="G221" s="54" t="s">
        <v>28</v>
      </c>
      <c r="H221" s="55" t="s">
        <v>837</v>
      </c>
      <c r="I221" s="84">
        <v>54003.9</v>
      </c>
      <c r="J221" s="55" t="s">
        <v>386</v>
      </c>
      <c r="K221" s="53" t="s">
        <v>387</v>
      </c>
      <c r="L221" s="53" t="s">
        <v>32</v>
      </c>
      <c r="M221" s="53" t="s">
        <v>34</v>
      </c>
      <c r="N221" s="53" t="s">
        <v>34</v>
      </c>
      <c r="O221" s="53" t="s">
        <v>66</v>
      </c>
      <c r="P221" s="53" t="s">
        <v>838</v>
      </c>
      <c r="Q221" s="53" t="s">
        <v>625</v>
      </c>
      <c r="R221" s="56">
        <v>45869</v>
      </c>
      <c r="S221" s="53" t="s">
        <v>116</v>
      </c>
      <c r="T221" s="53" t="s">
        <v>405</v>
      </c>
      <c r="U221" s="53" t="s">
        <v>34</v>
      </c>
      <c r="V221" s="53" t="s">
        <v>34</v>
      </c>
      <c r="W221" s="89">
        <v>171012025000018</v>
      </c>
      <c r="X221" s="10"/>
    </row>
    <row r="222" spans="1:24" s="11" customFormat="1" ht="15" customHeight="1" x14ac:dyDescent="0.25">
      <c r="A222" s="65"/>
      <c r="B222" s="48">
        <v>190</v>
      </c>
      <c r="C222" s="48" t="s">
        <v>25</v>
      </c>
      <c r="D222" s="49" t="s">
        <v>26</v>
      </c>
      <c r="E222" s="49">
        <v>3</v>
      </c>
      <c r="F222" s="48"/>
      <c r="G222" s="50" t="s">
        <v>28</v>
      </c>
      <c r="H222" s="51" t="s">
        <v>839</v>
      </c>
      <c r="I222" s="93">
        <f>9500000-600000</f>
        <v>8900000</v>
      </c>
      <c r="J222" s="51" t="s">
        <v>840</v>
      </c>
      <c r="K222" s="49" t="s">
        <v>151</v>
      </c>
      <c r="L222" s="49" t="s">
        <v>32</v>
      </c>
      <c r="M222" s="49" t="s">
        <v>34</v>
      </c>
      <c r="N222" s="49" t="s">
        <v>34</v>
      </c>
      <c r="O222" s="49" t="s">
        <v>66</v>
      </c>
      <c r="P222" s="49" t="s">
        <v>841</v>
      </c>
      <c r="Q222" s="48" t="s">
        <v>842</v>
      </c>
      <c r="R222" s="57">
        <v>45839</v>
      </c>
      <c r="S222" s="49" t="s">
        <v>39</v>
      </c>
      <c r="T222" s="48" t="s">
        <v>843</v>
      </c>
      <c r="U222" s="49" t="s">
        <v>33</v>
      </c>
      <c r="V222" s="49" t="s">
        <v>38</v>
      </c>
      <c r="W222" s="90">
        <v>171012025000209</v>
      </c>
      <c r="X222" s="10"/>
    </row>
    <row r="223" spans="1:24" s="11" customFormat="1" ht="15" customHeight="1" x14ac:dyDescent="0.25">
      <c r="A223" s="65"/>
      <c r="B223" s="52">
        <v>191</v>
      </c>
      <c r="C223" s="52" t="s">
        <v>25</v>
      </c>
      <c r="D223" s="53" t="s">
        <v>26</v>
      </c>
      <c r="E223" s="53">
        <v>3</v>
      </c>
      <c r="F223" s="52" t="s">
        <v>844</v>
      </c>
      <c r="G223" s="54" t="s">
        <v>28</v>
      </c>
      <c r="H223" s="55" t="s">
        <v>845</v>
      </c>
      <c r="I223" s="84">
        <v>100000</v>
      </c>
      <c r="J223" s="55" t="s">
        <v>846</v>
      </c>
      <c r="K223" s="53" t="s">
        <v>151</v>
      </c>
      <c r="L223" s="53" t="s">
        <v>32</v>
      </c>
      <c r="M223" s="53" t="s">
        <v>34</v>
      </c>
      <c r="N223" s="53" t="s">
        <v>33</v>
      </c>
      <c r="O223" s="53" t="s">
        <v>46</v>
      </c>
      <c r="P223" s="53" t="s">
        <v>847</v>
      </c>
      <c r="Q223" s="94" t="s">
        <v>1072</v>
      </c>
      <c r="R223" s="56">
        <v>46006</v>
      </c>
      <c r="S223" s="53" t="s">
        <v>116</v>
      </c>
      <c r="T223" s="53" t="s">
        <v>848</v>
      </c>
      <c r="U223" s="53" t="s">
        <v>33</v>
      </c>
      <c r="V223" s="53" t="s">
        <v>38</v>
      </c>
      <c r="W223" s="89">
        <v>171012025000008</v>
      </c>
      <c r="X223" s="10"/>
    </row>
    <row r="224" spans="1:24" s="11" customFormat="1" ht="15" customHeight="1" x14ac:dyDescent="0.25">
      <c r="A224" s="65"/>
      <c r="B224" s="48">
        <v>192</v>
      </c>
      <c r="C224" s="48" t="s">
        <v>25</v>
      </c>
      <c r="D224" s="49" t="s">
        <v>26</v>
      </c>
      <c r="E224" s="99">
        <v>3</v>
      </c>
      <c r="F224" s="48" t="s">
        <v>844</v>
      </c>
      <c r="G224" s="50" t="s">
        <v>28</v>
      </c>
      <c r="H224" s="51" t="s">
        <v>849</v>
      </c>
      <c r="I224" s="85">
        <v>82500</v>
      </c>
      <c r="J224" s="51" t="s">
        <v>850</v>
      </c>
      <c r="K224" s="49" t="s">
        <v>151</v>
      </c>
      <c r="L224" s="49" t="s">
        <v>32</v>
      </c>
      <c r="M224" s="49" t="s">
        <v>34</v>
      </c>
      <c r="N224" s="49" t="s">
        <v>33</v>
      </c>
      <c r="O224" s="49" t="s">
        <v>46</v>
      </c>
      <c r="P224" s="49" t="s">
        <v>851</v>
      </c>
      <c r="Q224" s="48"/>
      <c r="R224" s="57">
        <v>46006</v>
      </c>
      <c r="S224" s="49" t="s">
        <v>59</v>
      </c>
      <c r="T224" s="48" t="s">
        <v>185</v>
      </c>
      <c r="U224" s="49" t="s">
        <v>33</v>
      </c>
      <c r="V224" s="49" t="s">
        <v>38</v>
      </c>
      <c r="W224" s="90">
        <v>171012025000009</v>
      </c>
      <c r="X224" s="10"/>
    </row>
    <row r="225" spans="1:24" s="11" customFormat="1" ht="15" customHeight="1" x14ac:dyDescent="0.25">
      <c r="A225" s="65"/>
      <c r="B225" s="52">
        <v>193</v>
      </c>
      <c r="C225" s="52" t="s">
        <v>25</v>
      </c>
      <c r="D225" s="53" t="s">
        <v>26</v>
      </c>
      <c r="E225" s="53">
        <v>3</v>
      </c>
      <c r="F225" s="52"/>
      <c r="G225" s="54" t="s">
        <v>28</v>
      </c>
      <c r="H225" s="55" t="s">
        <v>852</v>
      </c>
      <c r="I225" s="84">
        <v>432960</v>
      </c>
      <c r="J225" s="55"/>
      <c r="K225" s="53" t="s">
        <v>310</v>
      </c>
      <c r="L225" s="53" t="s">
        <v>32</v>
      </c>
      <c r="M225" s="53" t="s">
        <v>33</v>
      </c>
      <c r="N225" s="53" t="s">
        <v>34</v>
      </c>
      <c r="O225" s="53" t="s">
        <v>46</v>
      </c>
      <c r="P225" s="53" t="s">
        <v>853</v>
      </c>
      <c r="Q225" s="53"/>
      <c r="R225" s="56">
        <v>46006</v>
      </c>
      <c r="S225" s="53" t="s">
        <v>116</v>
      </c>
      <c r="T225" s="53" t="s">
        <v>103</v>
      </c>
      <c r="U225" s="53" t="s">
        <v>33</v>
      </c>
      <c r="V225" s="53" t="s">
        <v>38</v>
      </c>
      <c r="W225" s="89">
        <v>171012025000011</v>
      </c>
      <c r="X225" s="10"/>
    </row>
    <row r="226" spans="1:24" s="11" customFormat="1" ht="15" customHeight="1" x14ac:dyDescent="0.25">
      <c r="A226" s="65"/>
      <c r="B226" s="48">
        <v>194</v>
      </c>
      <c r="C226" s="48" t="s">
        <v>25</v>
      </c>
      <c r="D226" s="49" t="s">
        <v>26</v>
      </c>
      <c r="E226" s="99">
        <v>4</v>
      </c>
      <c r="F226" s="48"/>
      <c r="G226" s="50" t="s">
        <v>28</v>
      </c>
      <c r="H226" s="51" t="s">
        <v>854</v>
      </c>
      <c r="I226" s="85">
        <v>23320.46</v>
      </c>
      <c r="J226" s="51" t="s">
        <v>30</v>
      </c>
      <c r="K226" s="49" t="s">
        <v>855</v>
      </c>
      <c r="L226" s="49" t="s">
        <v>32</v>
      </c>
      <c r="M226" s="49" t="s">
        <v>34</v>
      </c>
      <c r="N226" s="49" t="s">
        <v>33</v>
      </c>
      <c r="O226" s="49" t="s">
        <v>66</v>
      </c>
      <c r="P226" s="49" t="s">
        <v>856</v>
      </c>
      <c r="Q226" s="48"/>
      <c r="R226" s="57">
        <v>45811</v>
      </c>
      <c r="S226" s="49" t="s">
        <v>59</v>
      </c>
      <c r="T226" s="48" t="s">
        <v>857</v>
      </c>
      <c r="U226" s="49" t="s">
        <v>34</v>
      </c>
      <c r="V226" s="49" t="s">
        <v>34</v>
      </c>
      <c r="W226" s="90">
        <v>171012025000022</v>
      </c>
      <c r="X226" s="10"/>
    </row>
    <row r="227" spans="1:24" s="11" customFormat="1" ht="15" customHeight="1" x14ac:dyDescent="0.25">
      <c r="A227" s="65"/>
      <c r="B227" s="52"/>
      <c r="C227" s="52"/>
      <c r="D227" s="53"/>
      <c r="E227" s="53"/>
      <c r="F227" s="52"/>
      <c r="G227" s="54"/>
      <c r="H227" s="96" t="s">
        <v>157</v>
      </c>
      <c r="I227" s="84"/>
      <c r="J227" s="55"/>
      <c r="K227" s="53"/>
      <c r="L227" s="53"/>
      <c r="M227" s="53"/>
      <c r="N227" s="53"/>
      <c r="O227" s="53"/>
      <c r="P227" s="53"/>
      <c r="Q227" s="53"/>
      <c r="R227" s="56"/>
      <c r="S227" s="53"/>
      <c r="T227" s="53"/>
      <c r="U227" s="53"/>
      <c r="V227" s="53"/>
      <c r="W227" s="89"/>
      <c r="X227" s="10"/>
    </row>
    <row r="228" spans="1:24" s="11" customFormat="1" ht="15" customHeight="1" x14ac:dyDescent="0.25">
      <c r="A228" s="65"/>
      <c r="B228" s="48">
        <v>196</v>
      </c>
      <c r="C228" s="48" t="s">
        <v>25</v>
      </c>
      <c r="D228" s="49" t="s">
        <v>26</v>
      </c>
      <c r="E228" s="99">
        <v>3</v>
      </c>
      <c r="F228" s="48"/>
      <c r="G228" s="50" t="s">
        <v>28</v>
      </c>
      <c r="H228" s="51" t="s">
        <v>858</v>
      </c>
      <c r="I228" s="85">
        <f>36000+2019</f>
        <v>38019</v>
      </c>
      <c r="J228" s="51"/>
      <c r="K228" s="49" t="s">
        <v>160</v>
      </c>
      <c r="L228" s="49" t="s">
        <v>32</v>
      </c>
      <c r="M228" s="49" t="s">
        <v>34</v>
      </c>
      <c r="N228" s="49" t="s">
        <v>33</v>
      </c>
      <c r="O228" s="49" t="s">
        <v>66</v>
      </c>
      <c r="P228" s="49" t="s">
        <v>859</v>
      </c>
      <c r="Q228" s="48"/>
      <c r="R228" s="57">
        <v>45900</v>
      </c>
      <c r="S228" s="49" t="s">
        <v>59</v>
      </c>
      <c r="T228" s="75"/>
      <c r="U228" s="49" t="s">
        <v>34</v>
      </c>
      <c r="V228" s="49" t="s">
        <v>33</v>
      </c>
      <c r="W228" s="90">
        <v>171012025000030</v>
      </c>
      <c r="X228" s="10"/>
    </row>
    <row r="229" spans="1:24" s="11" customFormat="1" ht="15" customHeight="1" x14ac:dyDescent="0.25">
      <c r="A229" s="65"/>
      <c r="B229" s="52">
        <v>197</v>
      </c>
      <c r="C229" s="52" t="s">
        <v>25</v>
      </c>
      <c r="D229" s="53" t="s">
        <v>26</v>
      </c>
      <c r="E229" s="53">
        <v>3</v>
      </c>
      <c r="F229" s="52"/>
      <c r="G229" s="54" t="s">
        <v>28</v>
      </c>
      <c r="H229" s="55" t="s">
        <v>860</v>
      </c>
      <c r="I229" s="93">
        <f>24330-8630</f>
        <v>15700</v>
      </c>
      <c r="J229" s="55" t="s">
        <v>861</v>
      </c>
      <c r="K229" s="53" t="s">
        <v>99</v>
      </c>
      <c r="L229" s="53" t="s">
        <v>32</v>
      </c>
      <c r="M229" s="53" t="s">
        <v>34</v>
      </c>
      <c r="N229" s="53" t="s">
        <v>33</v>
      </c>
      <c r="O229" s="53" t="s">
        <v>66</v>
      </c>
      <c r="P229" s="53" t="s">
        <v>862</v>
      </c>
      <c r="Q229" s="53"/>
      <c r="R229" s="56">
        <v>45870</v>
      </c>
      <c r="S229" s="53" t="s">
        <v>59</v>
      </c>
      <c r="T229" s="53" t="s">
        <v>863</v>
      </c>
      <c r="U229" s="53" t="s">
        <v>34</v>
      </c>
      <c r="V229" s="53" t="s">
        <v>34</v>
      </c>
      <c r="W229" s="89">
        <v>171012025000041</v>
      </c>
      <c r="X229" s="10"/>
    </row>
    <row r="230" spans="1:24" s="11" customFormat="1" ht="15" customHeight="1" x14ac:dyDescent="0.25">
      <c r="A230" s="65"/>
      <c r="B230" s="48">
        <v>198</v>
      </c>
      <c r="C230" s="48" t="s">
        <v>25</v>
      </c>
      <c r="D230" s="49" t="s">
        <v>26</v>
      </c>
      <c r="E230" s="49">
        <v>3</v>
      </c>
      <c r="F230" s="48"/>
      <c r="G230" s="50" t="s">
        <v>28</v>
      </c>
      <c r="H230" s="51" t="s">
        <v>864</v>
      </c>
      <c r="I230" s="85">
        <v>76000</v>
      </c>
      <c r="J230" s="51" t="s">
        <v>865</v>
      </c>
      <c r="K230" s="49" t="s">
        <v>866</v>
      </c>
      <c r="L230" s="49" t="s">
        <v>32</v>
      </c>
      <c r="M230" s="49" t="s">
        <v>34</v>
      </c>
      <c r="N230" s="49" t="s">
        <v>33</v>
      </c>
      <c r="O230" s="49" t="s">
        <v>66</v>
      </c>
      <c r="P230" s="49" t="s">
        <v>867</v>
      </c>
      <c r="Q230" s="48"/>
      <c r="R230" s="57">
        <v>46011</v>
      </c>
      <c r="S230" s="49" t="s">
        <v>59</v>
      </c>
      <c r="T230" s="48" t="s">
        <v>868</v>
      </c>
      <c r="U230" s="49" t="s">
        <v>34</v>
      </c>
      <c r="V230" s="49" t="s">
        <v>34</v>
      </c>
      <c r="W230" s="90">
        <v>171012025000044</v>
      </c>
      <c r="X230" s="10"/>
    </row>
    <row r="231" spans="1:24" s="11" customFormat="1" ht="15" customHeight="1" x14ac:dyDescent="0.25">
      <c r="A231" s="65"/>
      <c r="B231" s="52">
        <v>199</v>
      </c>
      <c r="C231" s="52" t="s">
        <v>25</v>
      </c>
      <c r="D231" s="53" t="s">
        <v>26</v>
      </c>
      <c r="E231" s="53">
        <v>3</v>
      </c>
      <c r="F231" s="52"/>
      <c r="G231" s="54" t="s">
        <v>28</v>
      </c>
      <c r="H231" s="55" t="s">
        <v>869</v>
      </c>
      <c r="I231" s="93">
        <f>20000-7334.8-5350.2</f>
        <v>7315.0000000000009</v>
      </c>
      <c r="J231" s="55" t="s">
        <v>870</v>
      </c>
      <c r="K231" s="53" t="s">
        <v>99</v>
      </c>
      <c r="L231" s="53" t="s">
        <v>32</v>
      </c>
      <c r="M231" s="53" t="s">
        <v>34</v>
      </c>
      <c r="N231" s="53" t="s">
        <v>33</v>
      </c>
      <c r="O231" s="53" t="s">
        <v>66</v>
      </c>
      <c r="P231" s="53" t="s">
        <v>871</v>
      </c>
      <c r="Q231" s="53"/>
      <c r="R231" s="56">
        <v>45870</v>
      </c>
      <c r="S231" s="53" t="s">
        <v>59</v>
      </c>
      <c r="T231" s="76"/>
      <c r="U231" s="53" t="s">
        <v>34</v>
      </c>
      <c r="V231" s="53" t="s">
        <v>33</v>
      </c>
      <c r="W231" s="89">
        <v>171012025000046</v>
      </c>
      <c r="X231" s="10"/>
    </row>
    <row r="232" spans="1:24" s="11" customFormat="1" ht="15" customHeight="1" x14ac:dyDescent="0.25">
      <c r="A232" s="65"/>
      <c r="B232" s="48">
        <v>200</v>
      </c>
      <c r="C232" s="48" t="s">
        <v>25</v>
      </c>
      <c r="D232" s="49" t="s">
        <v>26</v>
      </c>
      <c r="E232" s="99">
        <v>4</v>
      </c>
      <c r="F232" s="48"/>
      <c r="G232" s="50" t="s">
        <v>28</v>
      </c>
      <c r="H232" s="51" t="s">
        <v>872</v>
      </c>
      <c r="I232" s="85">
        <f>5226.39+31.61</f>
        <v>5258</v>
      </c>
      <c r="J232" s="51" t="s">
        <v>873</v>
      </c>
      <c r="K232" s="49" t="s">
        <v>160</v>
      </c>
      <c r="L232" s="49" t="s">
        <v>32</v>
      </c>
      <c r="M232" s="49" t="s">
        <v>34</v>
      </c>
      <c r="N232" s="49" t="s">
        <v>33</v>
      </c>
      <c r="O232" s="49" t="s">
        <v>66</v>
      </c>
      <c r="P232" s="49" t="s">
        <v>874</v>
      </c>
      <c r="Q232" s="48"/>
      <c r="R232" s="57">
        <v>45962</v>
      </c>
      <c r="S232" s="49" t="s">
        <v>59</v>
      </c>
      <c r="T232" s="48" t="s">
        <v>875</v>
      </c>
      <c r="U232" s="49" t="s">
        <v>34</v>
      </c>
      <c r="V232" s="49" t="s">
        <v>34</v>
      </c>
      <c r="W232" s="90">
        <v>171012025000066</v>
      </c>
      <c r="X232" s="10"/>
    </row>
    <row r="233" spans="1:24" s="11" customFormat="1" ht="15" customHeight="1" x14ac:dyDescent="0.25">
      <c r="A233" s="65"/>
      <c r="B233" s="52">
        <v>201</v>
      </c>
      <c r="C233" s="52" t="s">
        <v>25</v>
      </c>
      <c r="D233" s="53" t="s">
        <v>26</v>
      </c>
      <c r="E233" s="53">
        <v>3</v>
      </c>
      <c r="F233" s="52" t="s">
        <v>844</v>
      </c>
      <c r="G233" s="54" t="s">
        <v>28</v>
      </c>
      <c r="H233" s="55" t="s">
        <v>876</v>
      </c>
      <c r="I233" s="84">
        <v>20000</v>
      </c>
      <c r="J233" s="55" t="s">
        <v>870</v>
      </c>
      <c r="K233" s="53" t="s">
        <v>99</v>
      </c>
      <c r="L233" s="53" t="s">
        <v>32</v>
      </c>
      <c r="M233" s="53" t="s">
        <v>34</v>
      </c>
      <c r="N233" s="53" t="s">
        <v>33</v>
      </c>
      <c r="O233" s="53" t="s">
        <v>66</v>
      </c>
      <c r="P233" s="53" t="s">
        <v>877</v>
      </c>
      <c r="Q233" s="53"/>
      <c r="R233" s="56">
        <v>45962</v>
      </c>
      <c r="S233" s="53" t="s">
        <v>59</v>
      </c>
      <c r="T233" s="76"/>
      <c r="U233" s="53" t="s">
        <v>34</v>
      </c>
      <c r="V233" s="53" t="s">
        <v>33</v>
      </c>
      <c r="W233" s="89">
        <v>171012025000073</v>
      </c>
      <c r="X233" s="10"/>
    </row>
    <row r="234" spans="1:24" s="11" customFormat="1" ht="15" customHeight="1" x14ac:dyDescent="0.25">
      <c r="A234" s="65"/>
      <c r="B234" s="48">
        <v>202</v>
      </c>
      <c r="C234" s="48" t="s">
        <v>25</v>
      </c>
      <c r="D234" s="49" t="s">
        <v>26</v>
      </c>
      <c r="E234" s="49">
        <v>4</v>
      </c>
      <c r="F234" s="48"/>
      <c r="G234" s="50" t="s">
        <v>28</v>
      </c>
      <c r="H234" s="51" t="s">
        <v>878</v>
      </c>
      <c r="I234" s="85">
        <v>80000</v>
      </c>
      <c r="J234" s="51"/>
      <c r="K234" s="49" t="s">
        <v>160</v>
      </c>
      <c r="L234" s="49" t="s">
        <v>32</v>
      </c>
      <c r="M234" s="49" t="s">
        <v>34</v>
      </c>
      <c r="N234" s="49" t="s">
        <v>33</v>
      </c>
      <c r="O234" s="49" t="s">
        <v>46</v>
      </c>
      <c r="P234" s="49" t="s">
        <v>879</v>
      </c>
      <c r="Q234" s="48"/>
      <c r="R234" s="57">
        <v>45900</v>
      </c>
      <c r="S234" s="49" t="s">
        <v>59</v>
      </c>
      <c r="T234" s="48" t="s">
        <v>880</v>
      </c>
      <c r="U234" s="49" t="s">
        <v>33</v>
      </c>
      <c r="V234" s="49" t="s">
        <v>38</v>
      </c>
      <c r="W234" s="90">
        <v>171012025000074</v>
      </c>
      <c r="X234" s="10"/>
    </row>
    <row r="235" spans="1:24" s="11" customFormat="1" ht="15" customHeight="1" x14ac:dyDescent="0.25">
      <c r="A235" s="65"/>
      <c r="B235" s="52">
        <v>203</v>
      </c>
      <c r="C235" s="52" t="s">
        <v>25</v>
      </c>
      <c r="D235" s="53" t="s">
        <v>26</v>
      </c>
      <c r="E235" s="53">
        <v>3</v>
      </c>
      <c r="F235" s="52" t="s">
        <v>844</v>
      </c>
      <c r="G235" s="54" t="s">
        <v>28</v>
      </c>
      <c r="H235" s="55" t="s">
        <v>881</v>
      </c>
      <c r="I235" s="84">
        <f>22685.94+38350+12039+9924+2255</f>
        <v>85253.94</v>
      </c>
      <c r="J235" s="55"/>
      <c r="K235" s="53" t="s">
        <v>151</v>
      </c>
      <c r="L235" s="53" t="s">
        <v>32</v>
      </c>
      <c r="M235" s="53" t="s">
        <v>34</v>
      </c>
      <c r="N235" s="53" t="s">
        <v>33</v>
      </c>
      <c r="O235" s="53" t="s">
        <v>38</v>
      </c>
      <c r="P235" s="53" t="s">
        <v>38</v>
      </c>
      <c r="Q235" s="53"/>
      <c r="R235" s="56" t="s">
        <v>38</v>
      </c>
      <c r="S235" s="53" t="s">
        <v>38</v>
      </c>
      <c r="T235" s="53" t="s">
        <v>38</v>
      </c>
      <c r="U235" s="53" t="s">
        <v>33</v>
      </c>
      <c r="V235" s="53" t="s">
        <v>38</v>
      </c>
      <c r="W235" s="89">
        <v>171012025000094</v>
      </c>
      <c r="X235" s="10"/>
    </row>
    <row r="236" spans="1:24" s="11" customFormat="1" ht="15" customHeight="1" x14ac:dyDescent="0.25">
      <c r="A236" s="65"/>
      <c r="B236" s="48">
        <v>204</v>
      </c>
      <c r="C236" s="48" t="s">
        <v>25</v>
      </c>
      <c r="D236" s="49" t="s">
        <v>440</v>
      </c>
      <c r="E236" s="49">
        <v>3</v>
      </c>
      <c r="F236" s="48"/>
      <c r="G236" s="50" t="s">
        <v>442</v>
      </c>
      <c r="H236" s="51" t="s">
        <v>882</v>
      </c>
      <c r="I236" s="85">
        <v>0</v>
      </c>
      <c r="J236" s="51"/>
      <c r="K236" s="49" t="s">
        <v>442</v>
      </c>
      <c r="L236" s="49"/>
      <c r="M236" s="49" t="s">
        <v>34</v>
      </c>
      <c r="N236" s="49" t="s">
        <v>34</v>
      </c>
      <c r="O236" s="49" t="s">
        <v>46</v>
      </c>
      <c r="P236" s="49" t="s">
        <v>883</v>
      </c>
      <c r="Q236" s="48"/>
      <c r="R236" s="83"/>
      <c r="S236" s="49" t="s">
        <v>59</v>
      </c>
      <c r="T236" s="75"/>
      <c r="U236" s="49" t="s">
        <v>33</v>
      </c>
      <c r="V236" s="49" t="s">
        <v>38</v>
      </c>
      <c r="W236" s="90">
        <v>171012025000075</v>
      </c>
      <c r="X236" s="10"/>
    </row>
    <row r="237" spans="1:24" s="11" customFormat="1" ht="15" customHeight="1" x14ac:dyDescent="0.25">
      <c r="A237" s="65"/>
      <c r="B237" s="52">
        <v>205</v>
      </c>
      <c r="C237" s="52" t="s">
        <v>25</v>
      </c>
      <c r="D237" s="53" t="s">
        <v>440</v>
      </c>
      <c r="E237" s="53">
        <v>3</v>
      </c>
      <c r="F237" s="52"/>
      <c r="G237" s="54" t="s">
        <v>442</v>
      </c>
      <c r="H237" s="55" t="s">
        <v>884</v>
      </c>
      <c r="I237" s="84">
        <v>0</v>
      </c>
      <c r="J237" s="55"/>
      <c r="K237" s="53" t="s">
        <v>442</v>
      </c>
      <c r="L237" s="53"/>
      <c r="M237" s="53" t="s">
        <v>34</v>
      </c>
      <c r="N237" s="53" t="s">
        <v>34</v>
      </c>
      <c r="O237" s="53" t="s">
        <v>46</v>
      </c>
      <c r="P237" s="53" t="s">
        <v>885</v>
      </c>
      <c r="Q237" s="53"/>
      <c r="R237" s="83"/>
      <c r="S237" s="53" t="s">
        <v>59</v>
      </c>
      <c r="T237" s="76"/>
      <c r="U237" s="53" t="s">
        <v>33</v>
      </c>
      <c r="V237" s="53" t="s">
        <v>38</v>
      </c>
      <c r="W237" s="89">
        <v>171012025000076</v>
      </c>
      <c r="X237" s="10"/>
    </row>
    <row r="238" spans="1:24" s="11" customFormat="1" ht="15" customHeight="1" x14ac:dyDescent="0.25">
      <c r="A238" s="65"/>
      <c r="B238" s="48">
        <v>206</v>
      </c>
      <c r="C238" s="48" t="s">
        <v>25</v>
      </c>
      <c r="D238" s="49" t="s">
        <v>440</v>
      </c>
      <c r="E238" s="49">
        <v>3</v>
      </c>
      <c r="F238" s="48" t="s">
        <v>451</v>
      </c>
      <c r="G238" s="50" t="s">
        <v>442</v>
      </c>
      <c r="H238" s="51" t="s">
        <v>886</v>
      </c>
      <c r="I238" s="85">
        <v>76200</v>
      </c>
      <c r="J238" s="51" t="s">
        <v>453</v>
      </c>
      <c r="K238" s="49" t="s">
        <v>442</v>
      </c>
      <c r="L238" s="49" t="s">
        <v>446</v>
      </c>
      <c r="M238" s="49" t="s">
        <v>33</v>
      </c>
      <c r="N238" s="49" t="s">
        <v>34</v>
      </c>
      <c r="O238" s="49" t="s">
        <v>35</v>
      </c>
      <c r="P238" s="49" t="s">
        <v>887</v>
      </c>
      <c r="Q238" s="48" t="s">
        <v>888</v>
      </c>
      <c r="R238" s="57">
        <v>45606</v>
      </c>
      <c r="S238" s="49" t="s">
        <v>59</v>
      </c>
      <c r="T238" s="48" t="s">
        <v>456</v>
      </c>
      <c r="U238" s="49" t="s">
        <v>33</v>
      </c>
      <c r="V238" s="49" t="s">
        <v>38</v>
      </c>
      <c r="W238" s="90">
        <v>171012025000222</v>
      </c>
      <c r="X238" s="10"/>
    </row>
    <row r="239" spans="1:24" s="11" customFormat="1" ht="15" customHeight="1" x14ac:dyDescent="0.25">
      <c r="A239" s="65"/>
      <c r="B239" s="52">
        <v>207</v>
      </c>
      <c r="C239" s="52" t="s">
        <v>25</v>
      </c>
      <c r="D239" s="53" t="s">
        <v>440</v>
      </c>
      <c r="E239" s="53">
        <v>4</v>
      </c>
      <c r="F239" s="52"/>
      <c r="G239" s="54" t="s">
        <v>442</v>
      </c>
      <c r="H239" s="55" t="s">
        <v>889</v>
      </c>
      <c r="I239" s="84">
        <v>0</v>
      </c>
      <c r="J239" s="55"/>
      <c r="K239" s="53" t="s">
        <v>442</v>
      </c>
      <c r="L239" s="53"/>
      <c r="M239" s="53" t="s">
        <v>34</v>
      </c>
      <c r="N239" s="53" t="s">
        <v>34</v>
      </c>
      <c r="O239" s="53" t="s">
        <v>46</v>
      </c>
      <c r="P239" s="53" t="s">
        <v>890</v>
      </c>
      <c r="Q239" s="53"/>
      <c r="R239" s="83"/>
      <c r="S239" s="53" t="s">
        <v>59</v>
      </c>
      <c r="T239" s="76"/>
      <c r="U239" s="53" t="s">
        <v>33</v>
      </c>
      <c r="V239" s="53" t="s">
        <v>38</v>
      </c>
      <c r="W239" s="89">
        <v>171012025000115</v>
      </c>
      <c r="X239" s="10"/>
    </row>
    <row r="240" spans="1:24" s="11" customFormat="1" ht="15" customHeight="1" x14ac:dyDescent="0.25">
      <c r="A240" s="65"/>
      <c r="B240" s="48">
        <v>208</v>
      </c>
      <c r="C240" s="48" t="s">
        <v>25</v>
      </c>
      <c r="D240" s="49" t="s">
        <v>440</v>
      </c>
      <c r="E240" s="49">
        <v>4</v>
      </c>
      <c r="F240" s="48"/>
      <c r="G240" s="50" t="s">
        <v>442</v>
      </c>
      <c r="H240" s="51" t="s">
        <v>891</v>
      </c>
      <c r="I240" s="85">
        <v>101500.65</v>
      </c>
      <c r="J240" s="51"/>
      <c r="K240" s="49" t="s">
        <v>442</v>
      </c>
      <c r="L240" s="49"/>
      <c r="M240" s="49" t="s">
        <v>34</v>
      </c>
      <c r="N240" s="49" t="s">
        <v>34</v>
      </c>
      <c r="O240" s="49" t="s">
        <v>46</v>
      </c>
      <c r="P240" s="49" t="s">
        <v>892</v>
      </c>
      <c r="Q240" s="48"/>
      <c r="R240" s="83"/>
      <c r="S240" s="49" t="s">
        <v>59</v>
      </c>
      <c r="T240" s="75"/>
      <c r="U240" s="49" t="s">
        <v>33</v>
      </c>
      <c r="V240" s="49" t="s">
        <v>38</v>
      </c>
      <c r="W240" s="90">
        <v>171012025000154</v>
      </c>
      <c r="X240" s="10"/>
    </row>
    <row r="241" spans="1:24" s="11" customFormat="1" ht="15" customHeight="1" x14ac:dyDescent="0.25">
      <c r="A241" s="65"/>
      <c r="B241" s="52">
        <v>209</v>
      </c>
      <c r="C241" s="52" t="s">
        <v>25</v>
      </c>
      <c r="D241" s="53" t="s">
        <v>440</v>
      </c>
      <c r="E241" s="53">
        <v>4</v>
      </c>
      <c r="F241" s="52"/>
      <c r="G241" s="54" t="s">
        <v>442</v>
      </c>
      <c r="H241" s="55" t="s">
        <v>893</v>
      </c>
      <c r="I241" s="84">
        <v>0</v>
      </c>
      <c r="J241" s="55"/>
      <c r="K241" s="53" t="s">
        <v>442</v>
      </c>
      <c r="L241" s="53"/>
      <c r="M241" s="53" t="s">
        <v>34</v>
      </c>
      <c r="N241" s="53" t="s">
        <v>34</v>
      </c>
      <c r="O241" s="53" t="s">
        <v>46</v>
      </c>
      <c r="P241" s="53" t="s">
        <v>585</v>
      </c>
      <c r="Q241" s="53"/>
      <c r="R241" s="56">
        <v>45834</v>
      </c>
      <c r="S241" s="53" t="s">
        <v>39</v>
      </c>
      <c r="T241" s="76"/>
      <c r="U241" s="53" t="s">
        <v>33</v>
      </c>
      <c r="V241" s="53" t="s">
        <v>38</v>
      </c>
      <c r="W241" s="89">
        <v>171012025000176</v>
      </c>
      <c r="X241" s="10"/>
    </row>
    <row r="242" spans="1:24" s="11" customFormat="1" ht="15" customHeight="1" x14ac:dyDescent="0.25">
      <c r="A242" s="65"/>
      <c r="B242" s="48">
        <v>210</v>
      </c>
      <c r="C242" s="48" t="s">
        <v>25</v>
      </c>
      <c r="D242" s="49" t="s">
        <v>440</v>
      </c>
      <c r="E242" s="49">
        <v>4</v>
      </c>
      <c r="F242" s="48" t="s">
        <v>894</v>
      </c>
      <c r="G242" s="50" t="s">
        <v>442</v>
      </c>
      <c r="H242" s="51" t="s">
        <v>895</v>
      </c>
      <c r="I242" s="85">
        <v>0</v>
      </c>
      <c r="J242" s="51" t="s">
        <v>896</v>
      </c>
      <c r="K242" s="49" t="s">
        <v>442</v>
      </c>
      <c r="L242" s="49" t="s">
        <v>128</v>
      </c>
      <c r="M242" s="49" t="s">
        <v>34</v>
      </c>
      <c r="N242" s="49" t="s">
        <v>33</v>
      </c>
      <c r="O242" s="49" t="s">
        <v>46</v>
      </c>
      <c r="P242" s="49" t="s">
        <v>897</v>
      </c>
      <c r="Q242" s="48"/>
      <c r="R242" s="83"/>
      <c r="S242" s="49" t="s">
        <v>59</v>
      </c>
      <c r="T242" s="75"/>
      <c r="U242" s="49" t="s">
        <v>33</v>
      </c>
      <c r="V242" s="49" t="s">
        <v>38</v>
      </c>
      <c r="W242" s="100">
        <v>171012025000237</v>
      </c>
      <c r="X242" s="10"/>
    </row>
    <row r="243" spans="1:24" s="11" customFormat="1" ht="15" customHeight="1" x14ac:dyDescent="0.25">
      <c r="A243" s="65"/>
      <c r="B243" s="52">
        <v>211</v>
      </c>
      <c r="C243" s="52" t="s">
        <v>25</v>
      </c>
      <c r="D243" s="53" t="s">
        <v>440</v>
      </c>
      <c r="E243" s="53">
        <v>3</v>
      </c>
      <c r="F243" s="52" t="s">
        <v>898</v>
      </c>
      <c r="G243" s="54" t="s">
        <v>442</v>
      </c>
      <c r="H243" s="55" t="s">
        <v>895</v>
      </c>
      <c r="I243" s="84">
        <v>94004.2</v>
      </c>
      <c r="J243" s="55" t="s">
        <v>896</v>
      </c>
      <c r="K243" s="53" t="s">
        <v>442</v>
      </c>
      <c r="L243" s="53" t="s">
        <v>128</v>
      </c>
      <c r="M243" s="53" t="s">
        <v>34</v>
      </c>
      <c r="N243" s="53" t="s">
        <v>33</v>
      </c>
      <c r="O243" s="53" t="s">
        <v>46</v>
      </c>
      <c r="P243" s="53" t="s">
        <v>897</v>
      </c>
      <c r="Q243" s="53"/>
      <c r="R243" s="83"/>
      <c r="S243" s="53" t="s">
        <v>59</v>
      </c>
      <c r="T243" s="76"/>
      <c r="U243" s="53" t="s">
        <v>33</v>
      </c>
      <c r="V243" s="53" t="s">
        <v>38</v>
      </c>
      <c r="W243" s="89">
        <v>171012025000190</v>
      </c>
      <c r="X243" s="10"/>
    </row>
    <row r="244" spans="1:24" s="11" customFormat="1" ht="15" customHeight="1" x14ac:dyDescent="0.25">
      <c r="A244" s="65"/>
      <c r="B244" s="48">
        <v>212</v>
      </c>
      <c r="C244" s="48" t="s">
        <v>25</v>
      </c>
      <c r="D244" s="49" t="s">
        <v>658</v>
      </c>
      <c r="E244" s="49">
        <v>3</v>
      </c>
      <c r="F244" s="94" t="s">
        <v>674</v>
      </c>
      <c r="G244" s="50" t="s">
        <v>442</v>
      </c>
      <c r="H244" s="51" t="s">
        <v>899</v>
      </c>
      <c r="I244" s="85">
        <v>9000</v>
      </c>
      <c r="J244" s="51"/>
      <c r="K244" s="49" t="s">
        <v>442</v>
      </c>
      <c r="L244" s="49" t="s">
        <v>446</v>
      </c>
      <c r="M244" s="49" t="s">
        <v>34</v>
      </c>
      <c r="N244" s="49" t="s">
        <v>34</v>
      </c>
      <c r="O244" s="99" t="s">
        <v>66</v>
      </c>
      <c r="P244" s="49" t="s">
        <v>900</v>
      </c>
      <c r="Q244" s="48"/>
      <c r="R244" s="83"/>
      <c r="S244" s="49" t="s">
        <v>59</v>
      </c>
      <c r="T244" s="75"/>
      <c r="U244" s="49" t="s">
        <v>33</v>
      </c>
      <c r="V244" s="49" t="s">
        <v>38</v>
      </c>
      <c r="W244" s="90">
        <v>171012025000200</v>
      </c>
      <c r="X244" s="10"/>
    </row>
    <row r="245" spans="1:24" s="11" customFormat="1" ht="15" customHeight="1" x14ac:dyDescent="0.25">
      <c r="A245" s="65"/>
      <c r="B245" s="52">
        <v>213</v>
      </c>
      <c r="C245" s="52" t="s">
        <v>25</v>
      </c>
      <c r="D245" s="53" t="s">
        <v>658</v>
      </c>
      <c r="E245" s="53">
        <v>3</v>
      </c>
      <c r="F245" s="52"/>
      <c r="G245" s="54" t="s">
        <v>442</v>
      </c>
      <c r="H245" s="55" t="s">
        <v>901</v>
      </c>
      <c r="I245" s="84">
        <v>0</v>
      </c>
      <c r="J245" s="55"/>
      <c r="K245" s="53" t="s">
        <v>442</v>
      </c>
      <c r="L245" s="53" t="s">
        <v>446</v>
      </c>
      <c r="M245" s="53" t="s">
        <v>34</v>
      </c>
      <c r="N245" s="53" t="s">
        <v>34</v>
      </c>
      <c r="O245" s="53" t="s">
        <v>46</v>
      </c>
      <c r="P245" s="53" t="s">
        <v>503</v>
      </c>
      <c r="Q245" s="53"/>
      <c r="R245" s="83"/>
      <c r="S245" s="53" t="s">
        <v>59</v>
      </c>
      <c r="T245" s="76"/>
      <c r="U245" s="53" t="s">
        <v>33</v>
      </c>
      <c r="V245" s="53" t="s">
        <v>38</v>
      </c>
      <c r="W245" s="89">
        <v>171012025000224</v>
      </c>
      <c r="X245" s="10"/>
    </row>
    <row r="246" spans="1:24" s="11" customFormat="1" ht="15" customHeight="1" x14ac:dyDescent="0.25">
      <c r="A246" s="65"/>
      <c r="B246" s="48">
        <v>214</v>
      </c>
      <c r="C246" s="48" t="s">
        <v>25</v>
      </c>
      <c r="D246" s="49" t="s">
        <v>658</v>
      </c>
      <c r="E246" s="49">
        <v>3</v>
      </c>
      <c r="F246" s="48"/>
      <c r="G246" s="50" t="s">
        <v>442</v>
      </c>
      <c r="H246" s="51" t="s">
        <v>902</v>
      </c>
      <c r="I246" s="85">
        <v>0</v>
      </c>
      <c r="J246" s="51"/>
      <c r="K246" s="49" t="s">
        <v>442</v>
      </c>
      <c r="L246" s="49" t="s">
        <v>446</v>
      </c>
      <c r="M246" s="49" t="s">
        <v>34</v>
      </c>
      <c r="N246" s="49" t="s">
        <v>34</v>
      </c>
      <c r="O246" s="49" t="s">
        <v>46</v>
      </c>
      <c r="P246" s="49" t="s">
        <v>503</v>
      </c>
      <c r="Q246" s="48"/>
      <c r="R246" s="83"/>
      <c r="S246" s="49" t="s">
        <v>59</v>
      </c>
      <c r="T246" s="75"/>
      <c r="U246" s="49" t="s">
        <v>33</v>
      </c>
      <c r="V246" s="49" t="s">
        <v>38</v>
      </c>
      <c r="W246" s="100">
        <v>171012025000225</v>
      </c>
      <c r="X246" s="10"/>
    </row>
    <row r="247" spans="1:24" s="11" customFormat="1" ht="15" customHeight="1" x14ac:dyDescent="0.25">
      <c r="A247" s="65"/>
      <c r="B247" s="52">
        <v>215</v>
      </c>
      <c r="C247" s="52" t="s">
        <v>25</v>
      </c>
      <c r="D247" s="53" t="s">
        <v>26</v>
      </c>
      <c r="E247" s="53">
        <v>4</v>
      </c>
      <c r="F247" s="52" t="s">
        <v>176</v>
      </c>
      <c r="G247" s="54" t="s">
        <v>28</v>
      </c>
      <c r="H247" s="55" t="s">
        <v>903</v>
      </c>
      <c r="I247" s="93">
        <v>400000</v>
      </c>
      <c r="J247" s="55" t="s">
        <v>836</v>
      </c>
      <c r="K247" s="53" t="s">
        <v>151</v>
      </c>
      <c r="L247" s="53" t="s">
        <v>32</v>
      </c>
      <c r="M247" s="53" t="s">
        <v>34</v>
      </c>
      <c r="N247" s="53" t="s">
        <v>33</v>
      </c>
      <c r="O247" s="99" t="s">
        <v>46</v>
      </c>
      <c r="P247" s="53" t="s">
        <v>904</v>
      </c>
      <c r="Q247" s="53"/>
      <c r="R247" s="56" t="s">
        <v>38</v>
      </c>
      <c r="S247" s="99" t="s">
        <v>116</v>
      </c>
      <c r="T247" s="53" t="s">
        <v>830</v>
      </c>
      <c r="U247" s="53" t="s">
        <v>33</v>
      </c>
      <c r="V247" s="53" t="s">
        <v>38</v>
      </c>
      <c r="W247" s="89">
        <v>171012025000215</v>
      </c>
      <c r="X247" s="10"/>
    </row>
    <row r="248" spans="1:24" s="11" customFormat="1" ht="15" customHeight="1" x14ac:dyDescent="0.25">
      <c r="A248" s="65"/>
      <c r="B248" s="48">
        <v>216</v>
      </c>
      <c r="C248" s="48" t="s">
        <v>25</v>
      </c>
      <c r="D248" s="49" t="s">
        <v>26</v>
      </c>
      <c r="E248" s="49">
        <v>3</v>
      </c>
      <c r="F248" s="48" t="s">
        <v>196</v>
      </c>
      <c r="G248" s="50" t="s">
        <v>28</v>
      </c>
      <c r="H248" s="51" t="s">
        <v>905</v>
      </c>
      <c r="I248" s="85">
        <v>10059.93</v>
      </c>
      <c r="J248" s="51" t="s">
        <v>906</v>
      </c>
      <c r="K248" s="49" t="s">
        <v>160</v>
      </c>
      <c r="L248" s="49" t="s">
        <v>32</v>
      </c>
      <c r="M248" s="49" t="s">
        <v>33</v>
      </c>
      <c r="N248" s="49" t="s">
        <v>34</v>
      </c>
      <c r="O248" s="49" t="s">
        <v>66</v>
      </c>
      <c r="P248" s="49" t="s">
        <v>907</v>
      </c>
      <c r="Q248" s="48"/>
      <c r="R248" s="57">
        <v>45869</v>
      </c>
      <c r="S248" s="49" t="s">
        <v>116</v>
      </c>
      <c r="T248" s="48" t="s">
        <v>201</v>
      </c>
      <c r="U248" s="49" t="s">
        <v>34</v>
      </c>
      <c r="V248" s="49" t="s">
        <v>34</v>
      </c>
      <c r="W248" s="90">
        <v>171012025000216</v>
      </c>
      <c r="X248" s="10"/>
    </row>
    <row r="249" spans="1:24" s="11" customFormat="1" ht="15" customHeight="1" x14ac:dyDescent="0.25">
      <c r="A249" s="65"/>
      <c r="B249" s="52">
        <v>217</v>
      </c>
      <c r="C249" s="52" t="s">
        <v>25</v>
      </c>
      <c r="D249" s="53" t="s">
        <v>440</v>
      </c>
      <c r="E249" s="53">
        <v>3</v>
      </c>
      <c r="F249" s="52"/>
      <c r="G249" s="54" t="s">
        <v>442</v>
      </c>
      <c r="H249" s="55" t="s">
        <v>908</v>
      </c>
      <c r="I249" s="84">
        <v>540066.67000000004</v>
      </c>
      <c r="J249" s="55"/>
      <c r="K249" s="53" t="s">
        <v>442</v>
      </c>
      <c r="L249" s="53"/>
      <c r="M249" s="53" t="s">
        <v>34</v>
      </c>
      <c r="N249" s="53" t="s">
        <v>33</v>
      </c>
      <c r="O249" s="53" t="s">
        <v>46</v>
      </c>
      <c r="P249" s="53" t="s">
        <v>909</v>
      </c>
      <c r="Q249" s="53"/>
      <c r="R249" s="83"/>
      <c r="S249" s="53" t="s">
        <v>59</v>
      </c>
      <c r="T249" s="76"/>
      <c r="U249" s="53" t="s">
        <v>33</v>
      </c>
      <c r="V249" s="53" t="s">
        <v>38</v>
      </c>
      <c r="W249" s="89">
        <v>171012025000217</v>
      </c>
      <c r="X249" s="10"/>
    </row>
    <row r="250" spans="1:24" s="11" customFormat="1" ht="15" customHeight="1" x14ac:dyDescent="0.25">
      <c r="A250" s="65"/>
      <c r="B250" s="48">
        <v>218</v>
      </c>
      <c r="C250" s="48" t="s">
        <v>25</v>
      </c>
      <c r="D250" s="49" t="s">
        <v>440</v>
      </c>
      <c r="E250" s="49">
        <v>3</v>
      </c>
      <c r="F250" s="48" t="s">
        <v>525</v>
      </c>
      <c r="G250" s="50" t="s">
        <v>442</v>
      </c>
      <c r="H250" s="51" t="s">
        <v>910</v>
      </c>
      <c r="I250" s="85">
        <v>133500</v>
      </c>
      <c r="J250" s="51" t="s">
        <v>911</v>
      </c>
      <c r="K250" s="49" t="s">
        <v>442</v>
      </c>
      <c r="L250" s="49" t="s">
        <v>446</v>
      </c>
      <c r="M250" s="49" t="s">
        <v>33</v>
      </c>
      <c r="N250" s="49" t="s">
        <v>34</v>
      </c>
      <c r="O250" s="49" t="s">
        <v>46</v>
      </c>
      <c r="P250" s="49" t="s">
        <v>912</v>
      </c>
      <c r="Q250" s="48" t="s">
        <v>913</v>
      </c>
      <c r="R250" s="57">
        <v>45471</v>
      </c>
      <c r="S250" s="49" t="s">
        <v>59</v>
      </c>
      <c r="T250" s="48" t="s">
        <v>483</v>
      </c>
      <c r="U250" s="49" t="s">
        <v>33</v>
      </c>
      <c r="V250" s="49" t="s">
        <v>38</v>
      </c>
      <c r="W250" s="90">
        <v>171012025000218</v>
      </c>
      <c r="X250" s="10"/>
    </row>
    <row r="251" spans="1:24" s="11" customFormat="1" ht="15" customHeight="1" x14ac:dyDescent="0.25">
      <c r="A251" s="65"/>
      <c r="B251" s="52">
        <v>219</v>
      </c>
      <c r="C251" s="52" t="s">
        <v>25</v>
      </c>
      <c r="D251" s="53" t="s">
        <v>440</v>
      </c>
      <c r="E251" s="53">
        <v>3</v>
      </c>
      <c r="F251" s="52" t="s">
        <v>914</v>
      </c>
      <c r="G251" s="54" t="s">
        <v>442</v>
      </c>
      <c r="H251" s="55" t="s">
        <v>915</v>
      </c>
      <c r="I251" s="84">
        <v>16812.72</v>
      </c>
      <c r="J251" s="55" t="s">
        <v>915</v>
      </c>
      <c r="K251" s="53" t="s">
        <v>442</v>
      </c>
      <c r="L251" s="53" t="s">
        <v>446</v>
      </c>
      <c r="M251" s="53" t="s">
        <v>34</v>
      </c>
      <c r="N251" s="53" t="s">
        <v>33</v>
      </c>
      <c r="O251" s="53" t="s">
        <v>66</v>
      </c>
      <c r="P251" s="53" t="s">
        <v>916</v>
      </c>
      <c r="Q251" s="53" t="s">
        <v>503</v>
      </c>
      <c r="R251" s="56">
        <v>45505</v>
      </c>
      <c r="S251" s="53" t="s">
        <v>116</v>
      </c>
      <c r="T251" s="53" t="s">
        <v>917</v>
      </c>
      <c r="U251" s="53" t="s">
        <v>34</v>
      </c>
      <c r="V251" s="53" t="s">
        <v>34</v>
      </c>
      <c r="W251" s="89">
        <v>171012025000219</v>
      </c>
      <c r="X251" s="10"/>
    </row>
    <row r="252" spans="1:24" s="11" customFormat="1" ht="15" customHeight="1" x14ac:dyDescent="0.25">
      <c r="A252" s="65"/>
      <c r="B252" s="48">
        <v>220</v>
      </c>
      <c r="C252" s="48" t="s">
        <v>25</v>
      </c>
      <c r="D252" s="49" t="s">
        <v>440</v>
      </c>
      <c r="E252" s="49">
        <v>3</v>
      </c>
      <c r="F252" s="48"/>
      <c r="G252" s="50" t="s">
        <v>442</v>
      </c>
      <c r="H252" s="51" t="s">
        <v>918</v>
      </c>
      <c r="I252" s="85">
        <v>3263848.67</v>
      </c>
      <c r="J252" s="51"/>
      <c r="K252" s="49" t="s">
        <v>442</v>
      </c>
      <c r="L252" s="49" t="s">
        <v>446</v>
      </c>
      <c r="M252" s="49" t="s">
        <v>34</v>
      </c>
      <c r="N252" s="49" t="s">
        <v>33</v>
      </c>
      <c r="O252" s="49" t="s">
        <v>46</v>
      </c>
      <c r="P252" s="99" t="s">
        <v>919</v>
      </c>
      <c r="Q252" s="48"/>
      <c r="R252" s="57" t="s">
        <v>38</v>
      </c>
      <c r="S252" s="49" t="s">
        <v>116</v>
      </c>
      <c r="T252" s="75"/>
      <c r="U252" s="49" t="s">
        <v>33</v>
      </c>
      <c r="V252" s="49" t="s">
        <v>38</v>
      </c>
      <c r="W252" s="90">
        <v>171012025000177</v>
      </c>
      <c r="X252" s="10"/>
    </row>
    <row r="253" spans="1:24" s="11" customFormat="1" ht="15" customHeight="1" x14ac:dyDescent="0.25">
      <c r="A253" s="65"/>
      <c r="B253" s="52">
        <v>221</v>
      </c>
      <c r="C253" s="52" t="s">
        <v>25</v>
      </c>
      <c r="D253" s="53" t="s">
        <v>713</v>
      </c>
      <c r="E253" s="53">
        <v>3</v>
      </c>
      <c r="F253" s="52"/>
      <c r="G253" s="54" t="s">
        <v>715</v>
      </c>
      <c r="H253" s="55" t="s">
        <v>920</v>
      </c>
      <c r="I253" s="84">
        <v>58713.599999999999</v>
      </c>
      <c r="J253" s="55"/>
      <c r="K253" s="53" t="s">
        <v>38</v>
      </c>
      <c r="L253" s="53" t="s">
        <v>420</v>
      </c>
      <c r="M253" s="53" t="s">
        <v>34</v>
      </c>
      <c r="N253" s="53" t="s">
        <v>33</v>
      </c>
      <c r="O253" s="53" t="s">
        <v>38</v>
      </c>
      <c r="P253" s="53" t="s">
        <v>921</v>
      </c>
      <c r="Q253" s="53" t="s">
        <v>38</v>
      </c>
      <c r="R253" s="56" t="s">
        <v>38</v>
      </c>
      <c r="S253" s="53" t="s">
        <v>38</v>
      </c>
      <c r="T253" s="76"/>
      <c r="U253" s="53" t="s">
        <v>33</v>
      </c>
      <c r="V253" s="53" t="s">
        <v>38</v>
      </c>
      <c r="W253" s="89">
        <v>171012025000220</v>
      </c>
      <c r="X253" s="10"/>
    </row>
    <row r="254" spans="1:24" s="11" customFormat="1" ht="15" customHeight="1" x14ac:dyDescent="0.25">
      <c r="A254" s="65"/>
      <c r="B254" s="48">
        <v>222</v>
      </c>
      <c r="C254" s="48" t="s">
        <v>25</v>
      </c>
      <c r="D254" s="49" t="s">
        <v>26</v>
      </c>
      <c r="E254" s="49">
        <v>3</v>
      </c>
      <c r="F254" s="48"/>
      <c r="G254" s="50" t="s">
        <v>28</v>
      </c>
      <c r="H254" s="51" t="s">
        <v>922</v>
      </c>
      <c r="I254" s="85">
        <v>36000</v>
      </c>
      <c r="J254" s="51" t="s">
        <v>923</v>
      </c>
      <c r="K254" s="49" t="s">
        <v>219</v>
      </c>
      <c r="L254" s="49" t="s">
        <v>32</v>
      </c>
      <c r="M254" s="49" t="s">
        <v>34</v>
      </c>
      <c r="N254" s="49" t="s">
        <v>33</v>
      </c>
      <c r="O254" s="49" t="s">
        <v>66</v>
      </c>
      <c r="P254" s="49" t="s">
        <v>924</v>
      </c>
      <c r="Q254" s="48"/>
      <c r="R254" s="57">
        <v>45818</v>
      </c>
      <c r="S254" s="49" t="s">
        <v>59</v>
      </c>
      <c r="T254" s="94" t="s">
        <v>925</v>
      </c>
      <c r="U254" s="49" t="s">
        <v>33</v>
      </c>
      <c r="V254" s="49" t="s">
        <v>38</v>
      </c>
      <c r="W254" s="90">
        <v>171012025000221</v>
      </c>
      <c r="X254" s="10"/>
    </row>
    <row r="255" spans="1:24" s="11" customFormat="1" ht="15" customHeight="1" x14ac:dyDescent="0.25">
      <c r="A255" s="65"/>
      <c r="B255" s="52">
        <v>223</v>
      </c>
      <c r="C255" s="52" t="s">
        <v>25</v>
      </c>
      <c r="D255" s="53" t="s">
        <v>26</v>
      </c>
      <c r="E255" s="53">
        <v>3</v>
      </c>
      <c r="F255" s="52"/>
      <c r="G255" s="54" t="s">
        <v>28</v>
      </c>
      <c r="H255" s="55" t="s">
        <v>926</v>
      </c>
      <c r="I255" s="84">
        <v>249067.21</v>
      </c>
      <c r="J255" s="55" t="s">
        <v>927</v>
      </c>
      <c r="K255" s="53" t="s">
        <v>866</v>
      </c>
      <c r="L255" s="53" t="s">
        <v>32</v>
      </c>
      <c r="M255" s="53" t="s">
        <v>34</v>
      </c>
      <c r="N255" s="53" t="s">
        <v>33</v>
      </c>
      <c r="O255" s="53" t="s">
        <v>66</v>
      </c>
      <c r="P255" s="53" t="s">
        <v>928</v>
      </c>
      <c r="Q255" s="53"/>
      <c r="R255" s="56">
        <v>45839</v>
      </c>
      <c r="S255" s="53" t="s">
        <v>59</v>
      </c>
      <c r="T255" s="53" t="s">
        <v>929</v>
      </c>
      <c r="U255" s="53" t="s">
        <v>33</v>
      </c>
      <c r="V255" s="53" t="s">
        <v>38</v>
      </c>
      <c r="W255" s="91" t="s">
        <v>68</v>
      </c>
      <c r="X255" s="10"/>
    </row>
    <row r="256" spans="1:24" s="11" customFormat="1" ht="15" customHeight="1" x14ac:dyDescent="0.25">
      <c r="A256" s="65"/>
      <c r="B256" s="48">
        <v>224</v>
      </c>
      <c r="C256" s="48" t="s">
        <v>25</v>
      </c>
      <c r="D256" s="49" t="s">
        <v>26</v>
      </c>
      <c r="E256" s="49">
        <v>3</v>
      </c>
      <c r="F256" s="48"/>
      <c r="G256" s="50" t="s">
        <v>28</v>
      </c>
      <c r="H256" s="51" t="s">
        <v>930</v>
      </c>
      <c r="I256" s="85">
        <v>8486.9</v>
      </c>
      <c r="J256" s="51" t="s">
        <v>931</v>
      </c>
      <c r="K256" s="49" t="s">
        <v>310</v>
      </c>
      <c r="L256" s="49" t="s">
        <v>32</v>
      </c>
      <c r="M256" s="49" t="s">
        <v>33</v>
      </c>
      <c r="N256" s="49" t="s">
        <v>34</v>
      </c>
      <c r="O256" s="49" t="s">
        <v>66</v>
      </c>
      <c r="P256" s="49" t="s">
        <v>932</v>
      </c>
      <c r="Q256" s="48"/>
      <c r="R256" s="57">
        <v>45960</v>
      </c>
      <c r="S256" s="49" t="s">
        <v>116</v>
      </c>
      <c r="T256" s="48" t="s">
        <v>933</v>
      </c>
      <c r="U256" s="49" t="s">
        <v>34</v>
      </c>
      <c r="V256" s="76" t="s">
        <v>68</v>
      </c>
      <c r="W256" s="91" t="s">
        <v>68</v>
      </c>
      <c r="X256" s="10"/>
    </row>
    <row r="257" spans="1:24" s="11" customFormat="1" ht="15" customHeight="1" x14ac:dyDescent="0.25">
      <c r="A257" s="65"/>
      <c r="B257" s="94">
        <v>225</v>
      </c>
      <c r="C257" s="52" t="s">
        <v>25</v>
      </c>
      <c r="D257" s="53" t="s">
        <v>26</v>
      </c>
      <c r="E257" s="53">
        <v>3</v>
      </c>
      <c r="F257" s="52"/>
      <c r="G257" s="54" t="s">
        <v>28</v>
      </c>
      <c r="H257" s="55" t="s">
        <v>934</v>
      </c>
      <c r="I257" s="95">
        <v>14267</v>
      </c>
      <c r="J257" s="55" t="s">
        <v>30</v>
      </c>
      <c r="K257" s="53" t="s">
        <v>855</v>
      </c>
      <c r="L257" s="53" t="s">
        <v>32</v>
      </c>
      <c r="M257" s="53" t="s">
        <v>34</v>
      </c>
      <c r="N257" s="53" t="s">
        <v>33</v>
      </c>
      <c r="O257" s="53" t="s">
        <v>71</v>
      </c>
      <c r="P257" s="53" t="s">
        <v>935</v>
      </c>
      <c r="Q257" s="53"/>
      <c r="R257" s="56">
        <v>45787</v>
      </c>
      <c r="S257" s="53" t="s">
        <v>59</v>
      </c>
      <c r="T257" s="53" t="s">
        <v>936</v>
      </c>
      <c r="U257" s="53" t="s">
        <v>34</v>
      </c>
      <c r="V257" s="53" t="s">
        <v>34</v>
      </c>
      <c r="W257" s="91"/>
      <c r="X257" s="10"/>
    </row>
    <row r="258" spans="1:24" s="11" customFormat="1" ht="15" customHeight="1" x14ac:dyDescent="0.25">
      <c r="A258" s="65"/>
      <c r="B258" s="94">
        <v>226</v>
      </c>
      <c r="C258" s="48" t="s">
        <v>25</v>
      </c>
      <c r="D258" s="49" t="s">
        <v>440</v>
      </c>
      <c r="E258" s="49">
        <v>4</v>
      </c>
      <c r="F258" s="48" t="s">
        <v>596</v>
      </c>
      <c r="G258" s="50" t="s">
        <v>442</v>
      </c>
      <c r="H258" s="51" t="s">
        <v>937</v>
      </c>
      <c r="I258" s="85">
        <v>0</v>
      </c>
      <c r="J258" s="51" t="s">
        <v>937</v>
      </c>
      <c r="K258" s="49" t="s">
        <v>442</v>
      </c>
      <c r="L258" s="49" t="s">
        <v>446</v>
      </c>
      <c r="M258" s="49" t="s">
        <v>34</v>
      </c>
      <c r="N258" s="49" t="s">
        <v>33</v>
      </c>
      <c r="O258" s="49" t="s">
        <v>46</v>
      </c>
      <c r="P258" s="49" t="s">
        <v>938</v>
      </c>
      <c r="Q258" s="99" t="s">
        <v>1074</v>
      </c>
      <c r="R258" s="57">
        <v>45657</v>
      </c>
      <c r="S258" s="49" t="s">
        <v>59</v>
      </c>
      <c r="T258" s="48" t="s">
        <v>939</v>
      </c>
      <c r="U258" s="49" t="s">
        <v>33</v>
      </c>
      <c r="V258" s="49" t="s">
        <v>38</v>
      </c>
      <c r="W258" s="100">
        <v>171012025000245</v>
      </c>
      <c r="X258" s="10"/>
    </row>
    <row r="259" spans="1:24" s="11" customFormat="1" ht="15" customHeight="1" x14ac:dyDescent="0.25">
      <c r="A259" s="65"/>
      <c r="B259" s="94">
        <v>227</v>
      </c>
      <c r="C259" s="52" t="s">
        <v>25</v>
      </c>
      <c r="D259" s="53" t="s">
        <v>440</v>
      </c>
      <c r="E259" s="53">
        <v>3</v>
      </c>
      <c r="F259" s="52"/>
      <c r="G259" s="54" t="s">
        <v>442</v>
      </c>
      <c r="H259" s="55" t="s">
        <v>940</v>
      </c>
      <c r="I259" s="95">
        <v>494000.04</v>
      </c>
      <c r="J259" s="55" t="s">
        <v>453</v>
      </c>
      <c r="K259" s="53" t="s">
        <v>445</v>
      </c>
      <c r="L259" s="53" t="s">
        <v>446</v>
      </c>
      <c r="M259" s="53" t="s">
        <v>33</v>
      </c>
      <c r="N259" s="53" t="s">
        <v>33</v>
      </c>
      <c r="O259" s="53" t="s">
        <v>38</v>
      </c>
      <c r="P259" s="53" t="s">
        <v>454</v>
      </c>
      <c r="Q259" s="53" t="s">
        <v>455</v>
      </c>
      <c r="R259" s="56" t="s">
        <v>38</v>
      </c>
      <c r="S259" s="53" t="s">
        <v>39</v>
      </c>
      <c r="T259" s="53" t="s">
        <v>456</v>
      </c>
      <c r="U259" s="53" t="s">
        <v>33</v>
      </c>
      <c r="V259" s="53" t="s">
        <v>38</v>
      </c>
      <c r="W259" s="100">
        <v>171012025000238</v>
      </c>
      <c r="X259" s="10"/>
    </row>
    <row r="260" spans="1:24" s="11" customFormat="1" ht="15" customHeight="1" x14ac:dyDescent="0.25">
      <c r="A260" s="65"/>
      <c r="B260" s="94">
        <v>228</v>
      </c>
      <c r="C260" s="48" t="s">
        <v>25</v>
      </c>
      <c r="D260" s="49" t="s">
        <v>26</v>
      </c>
      <c r="E260" s="49">
        <v>3</v>
      </c>
      <c r="F260" s="48"/>
      <c r="G260" s="50" t="s">
        <v>28</v>
      </c>
      <c r="H260" s="51" t="s">
        <v>941</v>
      </c>
      <c r="I260" s="85">
        <v>0</v>
      </c>
      <c r="J260" s="51"/>
      <c r="K260" s="49" t="s">
        <v>151</v>
      </c>
      <c r="L260" s="49" t="s">
        <v>32</v>
      </c>
      <c r="M260" s="49" t="s">
        <v>34</v>
      </c>
      <c r="N260" s="49" t="s">
        <v>33</v>
      </c>
      <c r="O260" s="49" t="s">
        <v>38</v>
      </c>
      <c r="P260" s="49" t="s">
        <v>942</v>
      </c>
      <c r="Q260" s="48" t="s">
        <v>503</v>
      </c>
      <c r="R260" s="57">
        <v>46022</v>
      </c>
      <c r="S260" s="49" t="s">
        <v>59</v>
      </c>
      <c r="T260" s="75"/>
      <c r="U260" s="49" t="s">
        <v>33</v>
      </c>
      <c r="V260" s="49" t="s">
        <v>38</v>
      </c>
      <c r="W260" s="91"/>
      <c r="X260" s="10"/>
    </row>
    <row r="261" spans="1:24" x14ac:dyDescent="0.25">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1"/>
    </row>
    <row r="262" spans="1:24" x14ac:dyDescent="0.25">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1"/>
    </row>
    <row r="263" spans="1:24" x14ac:dyDescent="0.25">
      <c r="A263" s="65"/>
      <c r="B263" s="77"/>
      <c r="C263" s="65" t="s">
        <v>943</v>
      </c>
      <c r="D263" s="65"/>
      <c r="E263" s="65"/>
      <c r="F263" s="65"/>
      <c r="G263" s="65"/>
      <c r="H263" s="65"/>
      <c r="I263" s="65"/>
      <c r="J263" s="65"/>
      <c r="K263" s="65"/>
      <c r="L263" s="65"/>
      <c r="M263" s="65"/>
      <c r="N263" s="65"/>
      <c r="O263" s="65"/>
      <c r="P263" s="65"/>
      <c r="Q263" s="65"/>
      <c r="R263" s="65"/>
      <c r="S263" s="65"/>
      <c r="T263" s="65"/>
      <c r="U263" s="65"/>
      <c r="V263" s="65"/>
      <c r="W263" s="65"/>
      <c r="X263" s="1"/>
    </row>
    <row r="264" spans="1:24" x14ac:dyDescent="0.25">
      <c r="A264" s="65"/>
      <c r="B264" s="78"/>
      <c r="C264" s="65" t="s">
        <v>944</v>
      </c>
      <c r="D264" s="65"/>
      <c r="E264" s="65"/>
      <c r="F264" s="65"/>
      <c r="G264" s="65"/>
      <c r="H264" s="65"/>
      <c r="I264" s="65"/>
      <c r="J264" s="65"/>
      <c r="K264" s="65"/>
      <c r="L264" s="65"/>
      <c r="M264" s="65"/>
      <c r="N264" s="65"/>
      <c r="O264" s="65"/>
      <c r="P264" s="65"/>
      <c r="Q264" s="65"/>
      <c r="R264" s="65"/>
      <c r="S264" s="65"/>
      <c r="T264" s="65"/>
      <c r="U264" s="65"/>
      <c r="V264" s="65"/>
      <c r="W264" s="65"/>
      <c r="X264" s="1"/>
    </row>
    <row r="265" spans="1:24" x14ac:dyDescent="0.25">
      <c r="A265" s="65"/>
      <c r="B265" s="79"/>
      <c r="C265" s="65" t="s">
        <v>945</v>
      </c>
      <c r="D265" s="65"/>
      <c r="E265" s="65"/>
      <c r="F265" s="65"/>
      <c r="G265" s="65"/>
      <c r="H265" s="65"/>
      <c r="I265" s="65"/>
      <c r="J265" s="65"/>
      <c r="K265" s="65"/>
      <c r="L265" s="65"/>
      <c r="M265" s="65"/>
      <c r="N265" s="65"/>
      <c r="O265" s="65"/>
      <c r="P265" s="65"/>
      <c r="Q265" s="65"/>
      <c r="R265" s="65"/>
      <c r="S265" s="65"/>
      <c r="T265" s="65"/>
      <c r="U265" s="65"/>
      <c r="V265" s="65"/>
      <c r="W265" s="65"/>
      <c r="X265" s="1"/>
    </row>
    <row r="266" spans="1:24" x14ac:dyDescent="0.25">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1"/>
    </row>
    <row r="267" spans="1:24" x14ac:dyDescent="0.25">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1"/>
    </row>
    <row r="268" spans="1:24" x14ac:dyDescent="0.25">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1"/>
    </row>
    <row r="269" spans="1:24" x14ac:dyDescent="0.25">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1"/>
    </row>
    <row r="270" spans="1:24" x14ac:dyDescent="0.25">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1"/>
    </row>
    <row r="271" spans="1:24" x14ac:dyDescent="0.25">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1"/>
    </row>
    <row r="272" spans="1:24" x14ac:dyDescent="0.25">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1"/>
    </row>
    <row r="273" spans="1:24" x14ac:dyDescent="0.25">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1"/>
    </row>
    <row r="274" spans="1:24" x14ac:dyDescent="0.25">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1"/>
    </row>
    <row r="275" spans="1:24" x14ac:dyDescent="0.25">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1"/>
    </row>
    <row r="276" spans="1:24" x14ac:dyDescent="0.25">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1"/>
    </row>
    <row r="277" spans="1:24" x14ac:dyDescent="0.25">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1"/>
    </row>
    <row r="278" spans="1:24" x14ac:dyDescent="0.25">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1"/>
    </row>
    <row r="279" spans="1:24" x14ac:dyDescent="0.25">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1"/>
    </row>
    <row r="280" spans="1:24" x14ac:dyDescent="0.25">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1"/>
    </row>
    <row r="281" spans="1:24" x14ac:dyDescent="0.25">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1"/>
    </row>
    <row r="282" spans="1:24" x14ac:dyDescent="0.25">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1"/>
    </row>
    <row r="283" spans="1:24" x14ac:dyDescent="0.25">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1"/>
    </row>
    <row r="284" spans="1:24" x14ac:dyDescent="0.25">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1"/>
    </row>
    <row r="285" spans="1:24" x14ac:dyDescent="0.25">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1"/>
    </row>
    <row r="286" spans="1:24" x14ac:dyDescent="0.25">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1"/>
    </row>
    <row r="287" spans="1:24" x14ac:dyDescent="0.25">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1"/>
    </row>
    <row r="288" spans="1:24" x14ac:dyDescent="0.25">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1"/>
    </row>
    <row r="289" spans="1:24" x14ac:dyDescent="0.25">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1"/>
    </row>
    <row r="290" spans="1:24" x14ac:dyDescent="0.25">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1"/>
    </row>
    <row r="291" spans="1:24" x14ac:dyDescent="0.25">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1"/>
    </row>
    <row r="292" spans="1:24" x14ac:dyDescent="0.25">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1"/>
    </row>
    <row r="293" spans="1:24" x14ac:dyDescent="0.25">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1"/>
    </row>
    <row r="294" spans="1:24" x14ac:dyDescent="0.25">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1"/>
    </row>
    <row r="295" spans="1:24" x14ac:dyDescent="0.25">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1"/>
    </row>
    <row r="296" spans="1:24" x14ac:dyDescent="0.25">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1"/>
    </row>
    <row r="297" spans="1:24" x14ac:dyDescent="0.25">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1"/>
    </row>
    <row r="298" spans="1:24" x14ac:dyDescent="0.25">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1"/>
    </row>
    <row r="299" spans="1:24" x14ac:dyDescent="0.25">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1"/>
    </row>
    <row r="300" spans="1:24" x14ac:dyDescent="0.25">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1"/>
    </row>
    <row r="301" spans="1:24" x14ac:dyDescent="0.25">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1"/>
    </row>
    <row r="302" spans="1:24" x14ac:dyDescent="0.25">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1"/>
    </row>
    <row r="303" spans="1:24" x14ac:dyDescent="0.25">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1"/>
    </row>
    <row r="304" spans="1:24" x14ac:dyDescent="0.25">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1"/>
    </row>
    <row r="305" spans="1:24" x14ac:dyDescent="0.25">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1"/>
    </row>
    <row r="306" spans="1:24" x14ac:dyDescent="0.25">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1"/>
    </row>
    <row r="307" spans="1:24" x14ac:dyDescent="0.25">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1"/>
    </row>
    <row r="308" spans="1:24" x14ac:dyDescent="0.25">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1"/>
    </row>
    <row r="309" spans="1:24" x14ac:dyDescent="0.25">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1"/>
    </row>
    <row r="310" spans="1:24" x14ac:dyDescent="0.25">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1"/>
    </row>
    <row r="311" spans="1:24" x14ac:dyDescent="0.25">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1"/>
    </row>
    <row r="312" spans="1:24" x14ac:dyDescent="0.25">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1"/>
    </row>
    <row r="313" spans="1:24" x14ac:dyDescent="0.25">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1"/>
    </row>
    <row r="314" spans="1:24" x14ac:dyDescent="0.25">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1"/>
    </row>
    <row r="315" spans="1:24" x14ac:dyDescent="0.25">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1"/>
    </row>
    <row r="316" spans="1:24" x14ac:dyDescent="0.25">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1"/>
    </row>
    <row r="317" spans="1:24" x14ac:dyDescent="0.25">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1"/>
    </row>
    <row r="318" spans="1:24" x14ac:dyDescent="0.25">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1"/>
    </row>
    <row r="319" spans="1:24" x14ac:dyDescent="0.25">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1"/>
    </row>
    <row r="320" spans="1:24" x14ac:dyDescent="0.25">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1"/>
    </row>
    <row r="321" spans="1:24" x14ac:dyDescent="0.25">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1"/>
    </row>
    <row r="322" spans="1:24" x14ac:dyDescent="0.25">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1"/>
    </row>
    <row r="323" spans="1:24" x14ac:dyDescent="0.25">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1"/>
    </row>
    <row r="324" spans="1:24" x14ac:dyDescent="0.25">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1"/>
    </row>
    <row r="325" spans="1:24" x14ac:dyDescent="0.25">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1"/>
    </row>
    <row r="326" spans="1:24" x14ac:dyDescent="0.25">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1"/>
    </row>
    <row r="327" spans="1:24" x14ac:dyDescent="0.25">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1"/>
    </row>
    <row r="328" spans="1:24" x14ac:dyDescent="0.25">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1"/>
    </row>
    <row r="329" spans="1:24" x14ac:dyDescent="0.25">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1"/>
    </row>
    <row r="330" spans="1:24" x14ac:dyDescent="0.25">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1"/>
    </row>
    <row r="331" spans="1:24" x14ac:dyDescent="0.25">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1"/>
    </row>
    <row r="332" spans="1:24" x14ac:dyDescent="0.25">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1"/>
    </row>
    <row r="333" spans="1:24" x14ac:dyDescent="0.25">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1"/>
    </row>
    <row r="334" spans="1:24" x14ac:dyDescent="0.25">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1"/>
    </row>
    <row r="335" spans="1:24" x14ac:dyDescent="0.25">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1"/>
    </row>
    <row r="336" spans="1:24" x14ac:dyDescent="0.25">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1"/>
    </row>
    <row r="337" spans="1:24" x14ac:dyDescent="0.25">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1"/>
    </row>
    <row r="338" spans="1:24" x14ac:dyDescent="0.25">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1"/>
    </row>
    <row r="339" spans="1:24" x14ac:dyDescent="0.25">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1"/>
    </row>
    <row r="340" spans="1:24" x14ac:dyDescent="0.25">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1"/>
    </row>
    <row r="341" spans="1:24" x14ac:dyDescent="0.25">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1"/>
    </row>
    <row r="342" spans="1:24" x14ac:dyDescent="0.25">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1"/>
    </row>
    <row r="343" spans="1:24" x14ac:dyDescent="0.25">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1"/>
    </row>
    <row r="344" spans="1:24" x14ac:dyDescent="0.25">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1"/>
    </row>
    <row r="345" spans="1:24" x14ac:dyDescent="0.25">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1"/>
    </row>
    <row r="346" spans="1:24" x14ac:dyDescent="0.25">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1"/>
    </row>
    <row r="347" spans="1:24" x14ac:dyDescent="0.25">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1"/>
    </row>
    <row r="348" spans="1:24" x14ac:dyDescent="0.25">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1"/>
    </row>
    <row r="349" spans="1:24" x14ac:dyDescent="0.25">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1"/>
    </row>
    <row r="350" spans="1:24" x14ac:dyDescent="0.25">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1"/>
    </row>
    <row r="351" spans="1:24" x14ac:dyDescent="0.25">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1"/>
    </row>
    <row r="352" spans="1:24" x14ac:dyDescent="0.25">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1"/>
    </row>
    <row r="353" spans="1:24" x14ac:dyDescent="0.25">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1"/>
    </row>
    <row r="354" spans="1:24" x14ac:dyDescent="0.25">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1"/>
    </row>
    <row r="355" spans="1:24" x14ac:dyDescent="0.25">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1"/>
    </row>
    <row r="356" spans="1:24" x14ac:dyDescent="0.25">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1"/>
    </row>
    <row r="357" spans="1:24" x14ac:dyDescent="0.25">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1"/>
    </row>
    <row r="358" spans="1:24" x14ac:dyDescent="0.25">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1"/>
    </row>
    <row r="359" spans="1:24" x14ac:dyDescent="0.25">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1"/>
    </row>
    <row r="360" spans="1:24" x14ac:dyDescent="0.25">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1"/>
    </row>
    <row r="361" spans="1:24" x14ac:dyDescent="0.25">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1"/>
    </row>
    <row r="362" spans="1:24" x14ac:dyDescent="0.25">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1"/>
    </row>
    <row r="363" spans="1:24" x14ac:dyDescent="0.25">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1"/>
    </row>
    <row r="364" spans="1:24" x14ac:dyDescent="0.25">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1"/>
    </row>
    <row r="365" spans="1:24" x14ac:dyDescent="0.25">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1"/>
    </row>
    <row r="366" spans="1:24" x14ac:dyDescent="0.25">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1"/>
    </row>
    <row r="367" spans="1:24" x14ac:dyDescent="0.25">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1"/>
    </row>
    <row r="368" spans="1:24" x14ac:dyDescent="0.25">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1"/>
    </row>
    <row r="369" spans="1:24" x14ac:dyDescent="0.25">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1"/>
    </row>
    <row r="370" spans="1:24" x14ac:dyDescent="0.25">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1"/>
    </row>
    <row r="371" spans="1:24" x14ac:dyDescent="0.25">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1"/>
    </row>
    <row r="372" spans="1:24" x14ac:dyDescent="0.25">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1"/>
    </row>
    <row r="373" spans="1:24" x14ac:dyDescent="0.25">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1"/>
    </row>
    <row r="374" spans="1:24" x14ac:dyDescent="0.25">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1"/>
    </row>
    <row r="375" spans="1:24" x14ac:dyDescent="0.25">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1"/>
    </row>
    <row r="376" spans="1:24" x14ac:dyDescent="0.25">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1"/>
    </row>
    <row r="377" spans="1:24" x14ac:dyDescent="0.25">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1"/>
    </row>
    <row r="378" spans="1:24" x14ac:dyDescent="0.25">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1"/>
    </row>
    <row r="379" spans="1:24" x14ac:dyDescent="0.25">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1"/>
    </row>
    <row r="380" spans="1:24" x14ac:dyDescent="0.25">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1"/>
    </row>
    <row r="381" spans="1:24" x14ac:dyDescent="0.25">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1"/>
    </row>
    <row r="382" spans="1:24" x14ac:dyDescent="0.25">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1"/>
    </row>
    <row r="383" spans="1:24" x14ac:dyDescent="0.25">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1"/>
    </row>
    <row r="384" spans="1:24" x14ac:dyDescent="0.25">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1"/>
    </row>
    <row r="385" spans="1:24" x14ac:dyDescent="0.25">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1"/>
    </row>
    <row r="386" spans="1:24" x14ac:dyDescent="0.25">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1"/>
    </row>
    <row r="387" spans="1:24" x14ac:dyDescent="0.25">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1"/>
    </row>
    <row r="388" spans="1:24" x14ac:dyDescent="0.25">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1"/>
    </row>
    <row r="389" spans="1:24" x14ac:dyDescent="0.25">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1"/>
    </row>
    <row r="390" spans="1:24" x14ac:dyDescent="0.25">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1"/>
    </row>
    <row r="391" spans="1:24" x14ac:dyDescent="0.25">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1"/>
    </row>
    <row r="392" spans="1:24" x14ac:dyDescent="0.25">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1"/>
    </row>
    <row r="393" spans="1:24" x14ac:dyDescent="0.25">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1"/>
    </row>
    <row r="394" spans="1:24" x14ac:dyDescent="0.25">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1"/>
    </row>
    <row r="395" spans="1:24" x14ac:dyDescent="0.25">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1"/>
    </row>
    <row r="396" spans="1:24" x14ac:dyDescent="0.25">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1"/>
    </row>
    <row r="397" spans="1:24" x14ac:dyDescent="0.25">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1"/>
    </row>
    <row r="398" spans="1:24" x14ac:dyDescent="0.25">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1"/>
    </row>
    <row r="399" spans="1:24" x14ac:dyDescent="0.25">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1"/>
    </row>
    <row r="400" spans="1:24" x14ac:dyDescent="0.25">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1"/>
    </row>
    <row r="401" spans="1:24" x14ac:dyDescent="0.25">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1"/>
    </row>
    <row r="402" spans="1:24" x14ac:dyDescent="0.25">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1"/>
    </row>
    <row r="403" spans="1:24" x14ac:dyDescent="0.25">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1"/>
    </row>
    <row r="404" spans="1:24" x14ac:dyDescent="0.25">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1"/>
    </row>
    <row r="405" spans="1:24" x14ac:dyDescent="0.25">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1"/>
    </row>
    <row r="406" spans="1:24" x14ac:dyDescent="0.25">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1"/>
    </row>
    <row r="407" spans="1:24" x14ac:dyDescent="0.25">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1"/>
    </row>
    <row r="408" spans="1:24" x14ac:dyDescent="0.25">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1"/>
    </row>
    <row r="409" spans="1:24" x14ac:dyDescent="0.25">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1"/>
    </row>
    <row r="410" spans="1:24" x14ac:dyDescent="0.25">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1"/>
    </row>
    <row r="411" spans="1:24" x14ac:dyDescent="0.25">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1"/>
    </row>
    <row r="412" spans="1:24" x14ac:dyDescent="0.25">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1"/>
    </row>
    <row r="413" spans="1:24" x14ac:dyDescent="0.25">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1"/>
    </row>
    <row r="414" spans="1:24" x14ac:dyDescent="0.25">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1"/>
    </row>
    <row r="415" spans="1:24" x14ac:dyDescent="0.25">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1"/>
    </row>
    <row r="416" spans="1:24" x14ac:dyDescent="0.25">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1"/>
    </row>
    <row r="417" spans="1:24" x14ac:dyDescent="0.25">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1"/>
    </row>
    <row r="418" spans="1:24" x14ac:dyDescent="0.25">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1"/>
    </row>
    <row r="419" spans="1:24" x14ac:dyDescent="0.25">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1"/>
    </row>
    <row r="420" spans="1:24" x14ac:dyDescent="0.25">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1"/>
    </row>
    <row r="421" spans="1:24" x14ac:dyDescent="0.25">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1"/>
    </row>
    <row r="422" spans="1:24" x14ac:dyDescent="0.25">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1"/>
    </row>
    <row r="423" spans="1:24" x14ac:dyDescent="0.25">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1"/>
    </row>
    <row r="424" spans="1:24" x14ac:dyDescent="0.25">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1"/>
    </row>
    <row r="425" spans="1:24" x14ac:dyDescent="0.25">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1"/>
    </row>
    <row r="426" spans="1:24" x14ac:dyDescent="0.25">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1"/>
    </row>
    <row r="427" spans="1:24" x14ac:dyDescent="0.25">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1"/>
    </row>
    <row r="428" spans="1:24" x14ac:dyDescent="0.25">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1"/>
    </row>
    <row r="429" spans="1:24" x14ac:dyDescent="0.25">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1"/>
    </row>
    <row r="430" spans="1:24" x14ac:dyDescent="0.25">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1"/>
    </row>
    <row r="431" spans="1:24" x14ac:dyDescent="0.25">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1"/>
    </row>
    <row r="432" spans="1:24" x14ac:dyDescent="0.25">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1"/>
    </row>
    <row r="433" spans="1:24" x14ac:dyDescent="0.25">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1"/>
    </row>
    <row r="434" spans="1:24" x14ac:dyDescent="0.25">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1"/>
    </row>
    <row r="435" spans="1:24" x14ac:dyDescent="0.25">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1"/>
    </row>
    <row r="436" spans="1:24" x14ac:dyDescent="0.25">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1"/>
    </row>
    <row r="437" spans="1:24" x14ac:dyDescent="0.25">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1"/>
    </row>
    <row r="438" spans="1:24" x14ac:dyDescent="0.25">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1"/>
    </row>
    <row r="439" spans="1:24" x14ac:dyDescent="0.25">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1"/>
    </row>
    <row r="440" spans="1:24" x14ac:dyDescent="0.25">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1"/>
    </row>
    <row r="441" spans="1:24" x14ac:dyDescent="0.25">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1"/>
    </row>
    <row r="442" spans="1:24" x14ac:dyDescent="0.25">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1"/>
    </row>
    <row r="443" spans="1:24" x14ac:dyDescent="0.25">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1"/>
    </row>
    <row r="444" spans="1:24" x14ac:dyDescent="0.25">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1"/>
    </row>
    <row r="445" spans="1:24" x14ac:dyDescent="0.25">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1"/>
    </row>
    <row r="446" spans="1:24" x14ac:dyDescent="0.25">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1"/>
    </row>
    <row r="447" spans="1:24" x14ac:dyDescent="0.25">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1"/>
    </row>
    <row r="448" spans="1:24" x14ac:dyDescent="0.25">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1"/>
    </row>
    <row r="449" spans="1:24" x14ac:dyDescent="0.25">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1"/>
    </row>
    <row r="450" spans="1:24" x14ac:dyDescent="0.25">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1"/>
    </row>
    <row r="451" spans="1:24" x14ac:dyDescent="0.25">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1"/>
    </row>
    <row r="452" spans="1:24" x14ac:dyDescent="0.25">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1"/>
    </row>
    <row r="453" spans="1:24" x14ac:dyDescent="0.25">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1"/>
    </row>
    <row r="454" spans="1:24" x14ac:dyDescent="0.25">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1"/>
    </row>
    <row r="455" spans="1:24" x14ac:dyDescent="0.25">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1"/>
    </row>
    <row r="456" spans="1:24" x14ac:dyDescent="0.25">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1"/>
    </row>
    <row r="457" spans="1:24" x14ac:dyDescent="0.25">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1"/>
    </row>
    <row r="458" spans="1:24" x14ac:dyDescent="0.25">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1"/>
    </row>
    <row r="459" spans="1:24" x14ac:dyDescent="0.25">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1"/>
    </row>
    <row r="460" spans="1:24" x14ac:dyDescent="0.25">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1"/>
    </row>
    <row r="461" spans="1:24" x14ac:dyDescent="0.25">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1"/>
    </row>
    <row r="462" spans="1:24" x14ac:dyDescent="0.25">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1"/>
    </row>
    <row r="463" spans="1:24" x14ac:dyDescent="0.25">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1"/>
    </row>
    <row r="464" spans="1:24" x14ac:dyDescent="0.25">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1"/>
    </row>
    <row r="465" spans="1:24" x14ac:dyDescent="0.25">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1"/>
    </row>
    <row r="466" spans="1:24" x14ac:dyDescent="0.25">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1"/>
    </row>
    <row r="467" spans="1:24" x14ac:dyDescent="0.25">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1"/>
    </row>
    <row r="468" spans="1:24" x14ac:dyDescent="0.25">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1"/>
    </row>
    <row r="469" spans="1:24" x14ac:dyDescent="0.25">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1"/>
    </row>
    <row r="470" spans="1:24" x14ac:dyDescent="0.25">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1"/>
    </row>
    <row r="471" spans="1:24" x14ac:dyDescent="0.25">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1"/>
    </row>
    <row r="472" spans="1:24" x14ac:dyDescent="0.25">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1"/>
    </row>
    <row r="473" spans="1:24" x14ac:dyDescent="0.25">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1"/>
    </row>
    <row r="474" spans="1:24" x14ac:dyDescent="0.25">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1"/>
    </row>
    <row r="475" spans="1:24" x14ac:dyDescent="0.25">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1"/>
    </row>
    <row r="476" spans="1:24" x14ac:dyDescent="0.25">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1"/>
    </row>
    <row r="477" spans="1:24" x14ac:dyDescent="0.25">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1"/>
    </row>
    <row r="478" spans="1:24" x14ac:dyDescent="0.25">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1"/>
    </row>
    <row r="479" spans="1:24" x14ac:dyDescent="0.25">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1"/>
    </row>
    <row r="480" spans="1:24" x14ac:dyDescent="0.25">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1"/>
    </row>
    <row r="481" spans="1:24" x14ac:dyDescent="0.25">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1"/>
    </row>
    <row r="482" spans="1:24" x14ac:dyDescent="0.25">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1"/>
    </row>
    <row r="483" spans="1:24" x14ac:dyDescent="0.25">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1"/>
    </row>
    <row r="484" spans="1:24" x14ac:dyDescent="0.25">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1"/>
    </row>
    <row r="485" spans="1:24" x14ac:dyDescent="0.25">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1"/>
    </row>
    <row r="486" spans="1:24" x14ac:dyDescent="0.25">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1"/>
    </row>
    <row r="487" spans="1:24" hidden="1" x14ac:dyDescent="0.25">
      <c r="R487" s="81"/>
    </row>
    <row r="488" spans="1:24" x14ac:dyDescent="0.25"/>
    <row r="489" spans="1:24" x14ac:dyDescent="0.25"/>
    <row r="490" spans="1:24" x14ac:dyDescent="0.25"/>
    <row r="491" spans="1:24" x14ac:dyDescent="0.25"/>
    <row r="492" spans="1:24" x14ac:dyDescent="0.25"/>
    <row r="493" spans="1:24" x14ac:dyDescent="0.25"/>
  </sheetData>
  <autoFilter ref="B8:W260" xr:uid="{708916EF-FC30-4394-88C7-33A818B1F906}"/>
  <dataValidations count="25">
    <dataValidation type="list" allowBlank="1" showInputMessage="1" showErrorMessage="1" sqref="O106:O107 S138 O138:P138 P140 S140" xr:uid="{4870883A-88FB-4478-A83A-268E3549344F}">
      <formula1>"Licitação, Prorrogação, Somente execução, Aquisição direta, n/a"</formula1>
    </dataValidation>
    <dataValidation allowBlank="1" showInputMessage="1" showErrorMessage="1" promptTitle="Ação orçamentária" prompt="Informação gerada pela SOF. Para o preenchimento é preciso avaliar a tabela contida no manual de utilização do formulário de captação de demandas" sqref="C8" xr:uid="{87DA4C52-F579-4EFF-8687-69203EF6892A}"/>
    <dataValidation allowBlank="1" showInputMessage="1" showErrorMessage="1" promptTitle="Plano orçamentário" prompt="Informação gerada pela SOF. Para o preenchimento é preciso avaliar a tabela contida no manual de utilização do formulário de captação de demandas" sqref="D8" xr:uid="{FD0FD183-0836-4E95-8236-A6A88FFEA4A0}"/>
    <dataValidation allowBlank="1" showInputMessage="1" showErrorMessage="1" promptTitle="Natureza de despesa detalhada" prompt="Informação gerada pela SOF. Para o preenchimento deve-se avaliar a classificação orçamentária informada no processo SEI do objeto " sqref="F8" xr:uid="{B71D51DD-7DE2-4223-9F6F-B2FF5F3C196B}"/>
    <dataValidation allowBlank="1" showInputMessage="1" showErrorMessage="1" promptTitle="Demanda" prompt="Descreva o objeto da contratação resumidamente" sqref="H8" xr:uid="{142A2630-25F6-43D9-8294-63595E66D9C1}"/>
    <dataValidation allowBlank="1" showInputMessage="1" showErrorMessage="1" promptTitle="Justificativa" prompt="Descreva a justificativa da contratação do objeto" sqref="J8" xr:uid="{F7755343-8A39-4EEA-B6E5-0A0BAB401249}"/>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8" xr:uid="{92D5258D-7CDB-4A55-9AEB-FCF84FD68B09}"/>
    <dataValidation allowBlank="1" showInputMessage="1" showErrorMessage="1" promptTitle="Unidade" prompt="Não é necessário o preenchimento" sqref="G8" xr:uid="{0BDEB8BD-9C5C-4561-BF30-FF3B99484807}"/>
    <dataValidation allowBlank="1" showInputMessage="1" showErrorMessage="1" promptTitle="UGR" prompt="Quando necessário, insira a unidade gestora responsável pelo objeto" sqref="K8" xr:uid="{F6B68762-B8C5-4F49-960C-F073F5FD90CA}"/>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8" xr:uid="{15915DBE-AE4E-488C-A529-0A0C6903A869}"/>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8" xr:uid="{BA6DB345-DBCB-4F61-B532-94E346D8A35B}"/>
    <dataValidation allowBlank="1" showInputMessage="1" showErrorMessage="1" promptTitle="Tipo de aquisição" prompt="Selecione “Licitação”, “Somente execução”, “Contratação direta”, “Prorrogação”, “n/a” na lista suspensa" sqref="O8" xr:uid="{6F56C42A-64D1-4BA4-B39F-0E2E7237E3F8}"/>
    <dataValidation allowBlank="1" showInputMessage="1" showErrorMessage="1" promptTitle="Processo SEI" prompt="Informe o processo SEI do objeto " sqref="P8" xr:uid="{A781327D-53DD-4D88-87E4-58C8A333FDFB}"/>
    <dataValidation allowBlank="1" showInputMessage="1" showErrorMessage="1" promptTitle="Nº do contrato, ARP ou NE" prompt="Quando houver sido gerado, registrar o número do contrato, ata de registro de preço ou nota de empenho do objeto. Caso contrário deve-se registrar n/a" sqref="Q8" xr:uid="{9BD2CD54-0F2B-4576-8FA6-6B7C4AEE9B45}"/>
    <dataValidation allowBlank="1" showInputMessage="1" showErrorMessage="1" promptTitle="Data de referência" prompt="Este campo deve ser preenchido somente caso o tipo de contratação seja &quot;Contratação direta&quot; ou &quot;Licitação&quot;, caso contrário preencha &quot;n/a&quot;. A data preenchida refere-se à quando a unidade demandante espera que seja iniciada a execução da contratação" sqref="R8" xr:uid="{F1DA4BB7-9583-4EF4-95EE-54F3979C2541}"/>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8" xr:uid="{50E9B838-A001-426C-8646-77C4CF60F540}"/>
    <dataValidation type="list" allowBlank="1" showInputMessage="1" showErrorMessage="1" sqref="S112:S113 S106:S107 S213 S9:S11" xr:uid="{C22055B1-1412-43C7-8CCB-B1F1FC210BA4}">
      <formula1>"Baixa, Média, Alta, n/a"</formula1>
    </dataValidation>
    <dataValidation type="list" allowBlank="1" showInputMessage="1" showErrorMessage="1" sqref="M106:N107 M112:N113 N213 M138 M9:N11" xr:uid="{C59FC0E2-570D-4760-A9FE-520DE5500C7A}">
      <formula1>"Sim, Não"</formula1>
    </dataValidation>
    <dataValidation allowBlank="1" showInputMessage="1" showErrorMessage="1" promptTitle="Classificação CATMAT / CATSER" prompt="Este campo deverá ser preenchido com o código da classe do Catálogo de Materiais e Serviços." sqref="T8" xr:uid="{E42807C6-ADAF-42EE-8F69-F22C5E2E073E}"/>
    <dataValidation allowBlank="1" showInputMessage="1" showErrorMessage="1" promptTitle="Captação" prompt="Insira o orçamento necessário para atender a demanda no referente _x000a_exercício" sqref="I8" xr:uid="{B22B9403-B71B-435C-AD14-2EC1AF488638}"/>
    <dataValidation allowBlank="1" showInputMessage="1" showErrorMessage="1" promptTitle="Item PCA" prompt="Não é necessário o preenchimento" sqref="B8" xr:uid="{7FF86292-26AC-43F6-A303-6DDF803C1D66}"/>
    <dataValidation type="list" allowBlank="1" showInputMessage="1" showErrorMessage="1" sqref="O23:O35 O9:O17 O19:O21 O98:O105 O112:O113 O234 O47:O77 O226:O232 O195:O224 O115:O188 O247:O260" xr:uid="{5041A13A-99A9-493C-ADEB-1A9F3DD4A108}">
      <formula1>"Licitação, Contratação Direta, Prorrogação, Somente execução, Somente execução - Dispensa, Suprimento de fundos, n/a"</formula1>
    </dataValidation>
    <dataValidation type="list" allowBlank="1" showInputMessage="1" showErrorMessage="1" sqref="U247:U249 U9:U221 U251:U260" xr:uid="{5AF5C90C-8DE4-4C21-A2DC-31422F0D8EF1}">
      <formula1>"Sim,Não"</formula1>
    </dataValidation>
    <dataValidation allowBlank="1" showInputMessage="1" showErrorMessage="1" promptTitle="Dispensa em função do valor?" prompt="Este campo deverá ser preenchido com &quot;sim&quot; caso a contratação tenha sido em função de uma dispensa em razão do valor ou suprimento de fundos. Caso contrário, deve ser marcado como &quot;não&quot;." sqref="U8" xr:uid="{42C9E093-F750-4D24-9215-620AD0C2403D}"/>
    <dataValidation type="list" allowBlank="1" showInputMessage="1" showErrorMessage="1" sqref="V9:V260" xr:uid="{567ADD46-5FB4-458D-9F63-7F0D5C34CF01}">
      <formula1>"Sim,Não,n/a"</formula1>
    </dataValidation>
  </dataValidations>
  <pageMargins left="0.511811024" right="0.511811024" top="0.78740157499999996" bottom="0.78740157499999996" header="0.31496062000000002" footer="0.314960620000000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9D764-3676-4C62-875F-3FE6AC9647F3}">
  <dimension ref="A1:X454"/>
  <sheetViews>
    <sheetView zoomScale="90" zoomScaleNormal="90" workbookViewId="0">
      <selection activeCell="H63" sqref="H61:X63"/>
    </sheetView>
  </sheetViews>
  <sheetFormatPr defaultColWidth="0" defaultRowHeight="15" zeroHeight="1" x14ac:dyDescent="0.25"/>
  <cols>
    <col min="1" max="1" width="5.5703125" style="80" customWidth="1"/>
    <col min="2" max="2" width="9.140625" style="80" customWidth="1"/>
    <col min="3" max="3" width="15.42578125" style="80" customWidth="1"/>
    <col min="4" max="4" width="14.140625" style="80" customWidth="1"/>
    <col min="5" max="5" width="14.85546875" style="80" customWidth="1"/>
    <col min="6" max="6" width="13.85546875" style="80" customWidth="1"/>
    <col min="7" max="7" width="9.28515625" style="80" customWidth="1"/>
    <col min="8" max="8" width="49.28515625" style="80" customWidth="1"/>
    <col min="9" max="9" width="19.85546875" style="80" customWidth="1"/>
    <col min="10" max="10" width="34.5703125" style="80" customWidth="1"/>
    <col min="11" max="11" width="16.85546875" style="80" customWidth="1"/>
    <col min="12" max="12" width="13.42578125" style="80" customWidth="1"/>
    <col min="13" max="13" width="10.7109375" style="80" customWidth="1"/>
    <col min="14" max="14" width="12.28515625" style="80" customWidth="1"/>
    <col min="15" max="15" width="21" style="80" customWidth="1"/>
    <col min="16" max="16" width="24.5703125" style="80" bestFit="1" customWidth="1"/>
    <col min="17" max="17" width="20.28515625" style="80" customWidth="1"/>
    <col min="18" max="18" width="25.85546875" style="80" customWidth="1"/>
    <col min="19" max="19" width="15.28515625" style="80" customWidth="1"/>
    <col min="20" max="20" width="21.42578125" style="80" customWidth="1"/>
    <col min="21" max="23" width="17.140625" style="80" customWidth="1"/>
    <col min="24" max="24" width="4.5703125" customWidth="1"/>
    <col min="25" max="16384" width="9.140625" hidden="1"/>
  </cols>
  <sheetData>
    <row r="1" spans="1:24" ht="15.75" thickBot="1" x14ac:dyDescent="0.3">
      <c r="A1" s="65"/>
      <c r="B1" s="65"/>
      <c r="C1" s="65"/>
      <c r="D1" s="65"/>
      <c r="E1" s="65"/>
      <c r="F1" s="65"/>
      <c r="G1" s="65"/>
      <c r="H1" s="66"/>
      <c r="I1" s="65"/>
      <c r="J1" s="66"/>
      <c r="K1" s="66"/>
      <c r="L1" s="65"/>
      <c r="M1" s="65"/>
      <c r="N1" s="65"/>
      <c r="O1" s="65"/>
      <c r="P1" s="65"/>
      <c r="Q1" s="65"/>
      <c r="R1" s="67"/>
      <c r="S1" s="65"/>
      <c r="T1" s="65"/>
      <c r="U1" s="65"/>
      <c r="V1" s="65"/>
      <c r="W1" s="65"/>
      <c r="X1" s="1"/>
    </row>
    <row r="2" spans="1:24" ht="26.25" thickBot="1" x14ac:dyDescent="0.3">
      <c r="A2" s="65"/>
      <c r="B2" s="13" t="s">
        <v>0</v>
      </c>
      <c r="C2" s="68"/>
      <c r="D2" s="68"/>
      <c r="E2" s="68"/>
      <c r="F2" s="68"/>
      <c r="G2" s="68"/>
      <c r="H2" s="68"/>
      <c r="I2" s="68"/>
      <c r="J2" s="68"/>
      <c r="K2" s="68"/>
      <c r="L2" s="68"/>
      <c r="M2" s="68"/>
      <c r="N2" s="68"/>
      <c r="O2" s="68"/>
      <c r="P2" s="68"/>
      <c r="Q2" s="68"/>
      <c r="R2" s="68"/>
      <c r="S2" s="68"/>
      <c r="T2" s="69"/>
      <c r="U2" s="68"/>
      <c r="V2" s="68"/>
      <c r="W2" s="68"/>
      <c r="X2" s="1"/>
    </row>
    <row r="3" spans="1:24" ht="23.25" thickBot="1" x14ac:dyDescent="0.3">
      <c r="A3" s="65"/>
      <c r="B3" s="9" t="s">
        <v>1</v>
      </c>
      <c r="C3" s="3"/>
      <c r="D3" s="3"/>
      <c r="E3" s="3"/>
      <c r="F3" s="3"/>
      <c r="G3" s="3"/>
      <c r="H3" s="3"/>
      <c r="I3" s="3"/>
      <c r="J3" s="3"/>
      <c r="K3" s="3"/>
      <c r="L3" s="3"/>
      <c r="M3" s="3"/>
      <c r="N3" s="3"/>
      <c r="O3" s="3"/>
      <c r="P3" s="3"/>
      <c r="Q3" s="3"/>
      <c r="R3" s="3"/>
      <c r="S3" s="4"/>
      <c r="T3" s="4"/>
      <c r="U3" s="4"/>
      <c r="V3" s="4"/>
      <c r="W3" s="4"/>
      <c r="X3" s="1"/>
    </row>
    <row r="4" spans="1:24" ht="23.25" thickBot="1" x14ac:dyDescent="0.3">
      <c r="A4" s="65"/>
      <c r="B4" s="2" t="s">
        <v>946</v>
      </c>
      <c r="C4" s="3"/>
      <c r="D4" s="3"/>
      <c r="E4" s="3"/>
      <c r="F4" s="3"/>
      <c r="G4" s="3"/>
      <c r="H4" s="3"/>
      <c r="I4" s="3"/>
      <c r="J4" s="3"/>
      <c r="K4" s="3"/>
      <c r="L4" s="3"/>
      <c r="M4" s="3"/>
      <c r="N4" s="3"/>
      <c r="O4" s="3"/>
      <c r="P4" s="3"/>
      <c r="Q4" s="3"/>
      <c r="R4" s="3"/>
      <c r="S4" s="4"/>
      <c r="T4" s="4"/>
      <c r="U4" s="4"/>
      <c r="V4" s="4"/>
      <c r="W4" s="4"/>
      <c r="X4" s="1"/>
    </row>
    <row r="5" spans="1:24" x14ac:dyDescent="0.25">
      <c r="A5" s="65"/>
      <c r="B5" s="70"/>
      <c r="C5" s="70"/>
      <c r="D5" s="70"/>
      <c r="E5" s="70"/>
      <c r="F5" s="70"/>
      <c r="G5" s="70"/>
      <c r="H5" s="70"/>
      <c r="I5" s="70"/>
      <c r="J5" s="70"/>
      <c r="K5" s="70"/>
      <c r="L5" s="70"/>
      <c r="M5" s="70"/>
      <c r="N5" s="70"/>
      <c r="O5" s="70"/>
      <c r="P5" s="70"/>
      <c r="Q5" s="70"/>
      <c r="R5" s="70"/>
      <c r="S5" s="70"/>
      <c r="T5" s="70"/>
      <c r="U5" s="70"/>
      <c r="V5" s="70"/>
      <c r="W5" s="70"/>
      <c r="X5" s="1"/>
    </row>
    <row r="6" spans="1:24" ht="15.75" thickBot="1" x14ac:dyDescent="0.3">
      <c r="A6" s="65"/>
      <c r="B6" s="70"/>
      <c r="C6" s="70"/>
      <c r="D6" s="70"/>
      <c r="E6" s="70"/>
      <c r="F6" s="70"/>
      <c r="G6" s="70"/>
      <c r="H6" s="71"/>
      <c r="I6" s="70"/>
      <c r="J6" s="71"/>
      <c r="K6" s="71"/>
      <c r="L6" s="70"/>
      <c r="M6" s="70"/>
      <c r="N6" s="70"/>
      <c r="O6" s="70"/>
      <c r="P6" s="70"/>
      <c r="Q6" s="70"/>
      <c r="R6" s="72"/>
      <c r="S6" s="70"/>
      <c r="T6" s="70"/>
      <c r="U6" s="70"/>
      <c r="V6" s="70"/>
      <c r="W6" s="70"/>
      <c r="X6" s="1"/>
    </row>
    <row r="7" spans="1:24" ht="15.75" thickBot="1" x14ac:dyDescent="0.3">
      <c r="A7" s="65"/>
      <c r="B7" s="70"/>
      <c r="C7" s="70"/>
      <c r="D7" s="70"/>
      <c r="E7" s="70"/>
      <c r="F7" s="70"/>
      <c r="G7" s="73"/>
      <c r="H7" s="71"/>
      <c r="I7" s="87">
        <f>SUBTOTAL(9,I9:I34)</f>
        <v>169788.21</v>
      </c>
      <c r="J7" s="71"/>
      <c r="K7" s="71"/>
      <c r="L7" s="70"/>
      <c r="M7" s="70"/>
      <c r="N7" s="70"/>
      <c r="O7" s="70"/>
      <c r="P7" s="70"/>
      <c r="Q7" s="70"/>
      <c r="R7" s="72"/>
      <c r="S7" s="70"/>
      <c r="T7" s="70"/>
      <c r="U7" s="70"/>
      <c r="V7" s="70"/>
      <c r="W7" s="70"/>
      <c r="X7" s="1"/>
    </row>
    <row r="8" spans="1:24" ht="48.75" customHeight="1" x14ac:dyDescent="0.25">
      <c r="A8" s="74"/>
      <c r="B8" s="6" t="s">
        <v>3</v>
      </c>
      <c r="C8" s="6" t="s">
        <v>4</v>
      </c>
      <c r="D8" s="6" t="s">
        <v>5</v>
      </c>
      <c r="E8" s="6" t="s">
        <v>947</v>
      </c>
      <c r="F8" s="6" t="s">
        <v>7</v>
      </c>
      <c r="G8" s="6" t="s">
        <v>8</v>
      </c>
      <c r="H8" s="6" t="s">
        <v>9</v>
      </c>
      <c r="I8" s="7" t="s">
        <v>10</v>
      </c>
      <c r="J8" s="6" t="s">
        <v>11</v>
      </c>
      <c r="K8" s="6" t="s">
        <v>12</v>
      </c>
      <c r="L8" s="6" t="s">
        <v>13</v>
      </c>
      <c r="M8" s="6" t="s">
        <v>14</v>
      </c>
      <c r="N8" s="6" t="s">
        <v>15</v>
      </c>
      <c r="O8" s="6" t="s">
        <v>16</v>
      </c>
      <c r="P8" s="6" t="s">
        <v>17</v>
      </c>
      <c r="Q8" s="6" t="s">
        <v>18</v>
      </c>
      <c r="R8" s="8" t="s">
        <v>19</v>
      </c>
      <c r="S8" s="6" t="s">
        <v>20</v>
      </c>
      <c r="T8" s="6" t="s">
        <v>21</v>
      </c>
      <c r="U8" s="6" t="s">
        <v>22</v>
      </c>
      <c r="V8" s="6" t="s">
        <v>948</v>
      </c>
      <c r="W8" s="6" t="s">
        <v>949</v>
      </c>
      <c r="X8" s="5"/>
    </row>
    <row r="9" spans="1:24" s="11" customFormat="1" ht="15" customHeight="1" x14ac:dyDescent="0.25">
      <c r="A9" s="65" t="str">
        <f>IF(AND(SUMIF(B:B,B:B,I:I)-SUMIF(PCA!B:B,'Detalhamento fracionamento'!B:B,PCA!I:I)&lt;=0.001,SUMIF(B:B,B:B,I:I)-SUMIF(PCA!B:B,'Detalhamento fracionamento'!B:B,PCA!I:I)&gt;=-0.001),"","ERRO")</f>
        <v/>
      </c>
      <c r="B9" s="52">
        <v>37</v>
      </c>
      <c r="C9" s="52" t="s">
        <v>25</v>
      </c>
      <c r="D9" s="53" t="s">
        <v>26</v>
      </c>
      <c r="E9" s="53">
        <v>3</v>
      </c>
      <c r="F9" s="52" t="s">
        <v>206</v>
      </c>
      <c r="G9" s="54" t="s">
        <v>28</v>
      </c>
      <c r="H9" s="55" t="s">
        <v>207</v>
      </c>
      <c r="I9" s="84">
        <f>32710-1500-5653-791-2380.09-4000-285-400-56.9*3-350</f>
        <v>17180.21</v>
      </c>
      <c r="J9" s="55" t="s">
        <v>208</v>
      </c>
      <c r="K9" s="53" t="s">
        <v>209</v>
      </c>
      <c r="L9" s="53" t="s">
        <v>32</v>
      </c>
      <c r="M9" s="53" t="s">
        <v>33</v>
      </c>
      <c r="N9" s="53" t="s">
        <v>33</v>
      </c>
      <c r="O9" s="53" t="s">
        <v>38</v>
      </c>
      <c r="P9" s="53" t="s">
        <v>38</v>
      </c>
      <c r="Q9" s="53" t="s">
        <v>38</v>
      </c>
      <c r="R9" s="56" t="s">
        <v>38</v>
      </c>
      <c r="S9" s="53" t="s">
        <v>59</v>
      </c>
      <c r="T9" s="53"/>
      <c r="U9" s="53" t="s">
        <v>33</v>
      </c>
      <c r="V9" s="53" t="s">
        <v>34</v>
      </c>
      <c r="W9" s="53">
        <v>1</v>
      </c>
      <c r="X9" s="5"/>
    </row>
    <row r="10" spans="1:24" s="11" customFormat="1" ht="15" customHeight="1" x14ac:dyDescent="0.25">
      <c r="A10" s="65" t="str">
        <f>IF(AND(SUMIF(B:B,B:B,I:I)-SUMIF(PCA!B:B,'Detalhamento fracionamento'!B:B,PCA!I:I)&lt;=0.001,SUMIF(B:B,B:B,I:I)-SUMIF(PCA!B:B,'Detalhamento fracionamento'!B:B,PCA!I:I)&gt;=-0.001),"","ERRO")</f>
        <v/>
      </c>
      <c r="B10" s="52">
        <v>37</v>
      </c>
      <c r="C10" s="52" t="s">
        <v>25</v>
      </c>
      <c r="D10" s="53" t="s">
        <v>26</v>
      </c>
      <c r="E10" s="53">
        <v>3</v>
      </c>
      <c r="F10" s="52" t="s">
        <v>950</v>
      </c>
      <c r="G10" s="54" t="s">
        <v>28</v>
      </c>
      <c r="H10" s="55" t="s">
        <v>951</v>
      </c>
      <c r="I10" s="84">
        <v>2890</v>
      </c>
      <c r="J10" s="55" t="s">
        <v>30</v>
      </c>
      <c r="K10" s="53" t="s">
        <v>31</v>
      </c>
      <c r="L10" s="53" t="s">
        <v>32</v>
      </c>
      <c r="M10" s="53" t="s">
        <v>33</v>
      </c>
      <c r="N10" s="53" t="s">
        <v>34</v>
      </c>
      <c r="O10" s="53" t="s">
        <v>799</v>
      </c>
      <c r="P10" s="53" t="s">
        <v>952</v>
      </c>
      <c r="Q10" s="53"/>
      <c r="R10" s="56" t="s">
        <v>38</v>
      </c>
      <c r="S10" s="53" t="s">
        <v>39</v>
      </c>
      <c r="T10" s="53" t="s">
        <v>953</v>
      </c>
      <c r="U10" s="53" t="s">
        <v>34</v>
      </c>
      <c r="V10" s="53" t="s">
        <v>34</v>
      </c>
      <c r="W10" s="53">
        <v>2</v>
      </c>
      <c r="X10" s="5"/>
    </row>
    <row r="11" spans="1:24" x14ac:dyDescent="0.25">
      <c r="A11" s="65" t="str">
        <f>IF(AND(SUMIF(B:B,B:B,I:I)-SUMIF(PCA!B:B,'Detalhamento fracionamento'!B:B,PCA!I:I)&lt;=0.001,SUMIF(B:B,B:B,I:I)-SUMIF(PCA!B:B,'Detalhamento fracionamento'!B:B,PCA!I:I)&gt;=-0.001),"","ERRO")</f>
        <v/>
      </c>
      <c r="B11" s="48">
        <v>19.2</v>
      </c>
      <c r="C11" s="48" t="s">
        <v>25</v>
      </c>
      <c r="D11" s="49" t="s">
        <v>26</v>
      </c>
      <c r="E11" s="49">
        <v>3</v>
      </c>
      <c r="F11" s="48" t="s">
        <v>118</v>
      </c>
      <c r="G11" s="50" t="s">
        <v>28</v>
      </c>
      <c r="H11" s="51" t="s">
        <v>119</v>
      </c>
      <c r="I11" s="85">
        <f>64384*0.402798185651313</f>
        <v>25933.758384974135</v>
      </c>
      <c r="J11" s="51" t="s">
        <v>120</v>
      </c>
      <c r="K11" s="49" t="s">
        <v>99</v>
      </c>
      <c r="L11" s="49" t="s">
        <v>100</v>
      </c>
      <c r="M11" s="49" t="s">
        <v>34</v>
      </c>
      <c r="N11" s="49" t="s">
        <v>33</v>
      </c>
      <c r="O11" s="49" t="s">
        <v>66</v>
      </c>
      <c r="P11" s="49" t="s">
        <v>123</v>
      </c>
      <c r="Q11" s="48"/>
      <c r="R11" s="57">
        <v>45809</v>
      </c>
      <c r="S11" s="49" t="s">
        <v>59</v>
      </c>
      <c r="T11" s="48" t="s">
        <v>954</v>
      </c>
      <c r="U11" s="49" t="s">
        <v>34</v>
      </c>
      <c r="V11" s="49" t="s">
        <v>34</v>
      </c>
      <c r="W11" s="49">
        <v>1</v>
      </c>
      <c r="X11" s="5"/>
    </row>
    <row r="12" spans="1:24" x14ac:dyDescent="0.25">
      <c r="A12" s="65" t="str">
        <f>IF(AND(SUMIF(B:B,B:B,I:I)-SUMIF(PCA!B:B,'Detalhamento fracionamento'!B:B,PCA!I:I)&lt;=0.001,SUMIF(B:B,B:B,I:I)-SUMIF(PCA!B:B,'Detalhamento fracionamento'!B:B,PCA!I:I)&gt;=-0.001),"","ERRO")</f>
        <v/>
      </c>
      <c r="B12" s="48">
        <v>19.2</v>
      </c>
      <c r="C12" s="48" t="s">
        <v>25</v>
      </c>
      <c r="D12" s="49" t="s">
        <v>26</v>
      </c>
      <c r="E12" s="49">
        <v>3</v>
      </c>
      <c r="F12" s="48" t="s">
        <v>118</v>
      </c>
      <c r="G12" s="50" t="s">
        <v>28</v>
      </c>
      <c r="H12" s="51" t="s">
        <v>119</v>
      </c>
      <c r="I12" s="85">
        <f>64384*0.597201814348687</f>
        <v>38450.241615025865</v>
      </c>
      <c r="J12" s="51" t="s">
        <v>120</v>
      </c>
      <c r="K12" s="49" t="s">
        <v>99</v>
      </c>
      <c r="L12" s="49" t="s">
        <v>100</v>
      </c>
      <c r="M12" s="49" t="s">
        <v>34</v>
      </c>
      <c r="N12" s="49" t="s">
        <v>33</v>
      </c>
      <c r="O12" s="49" t="s">
        <v>66</v>
      </c>
      <c r="P12" s="49" t="s">
        <v>123</v>
      </c>
      <c r="Q12" s="48"/>
      <c r="R12" s="57">
        <v>45809</v>
      </c>
      <c r="S12" s="49" t="s">
        <v>59</v>
      </c>
      <c r="T12" s="48" t="s">
        <v>122</v>
      </c>
      <c r="U12" s="49" t="s">
        <v>34</v>
      </c>
      <c r="V12" s="49" t="s">
        <v>34</v>
      </c>
      <c r="W12" s="49">
        <v>2</v>
      </c>
      <c r="X12" s="5"/>
    </row>
    <row r="13" spans="1:24" s="11" customFormat="1" ht="15" customHeight="1" x14ac:dyDescent="0.25">
      <c r="A13" s="65" t="str">
        <f>IF(AND(SUMIF(B:B,B:B,I:I)-SUMIF(PCA!B:B,'Detalhamento fracionamento'!B:B,PCA!I:I)&lt;=0.001,SUMIF(B:B,B:B,I:I)-SUMIF(PCA!B:B,'Detalhamento fracionamento'!B:B,PCA!I:I)&gt;=-0.001),"","ERRO")</f>
        <v/>
      </c>
      <c r="B13" s="52">
        <v>149</v>
      </c>
      <c r="C13" s="52" t="s">
        <v>25</v>
      </c>
      <c r="D13" s="53" t="s">
        <v>658</v>
      </c>
      <c r="E13" s="53">
        <v>3</v>
      </c>
      <c r="F13" s="52" t="s">
        <v>674</v>
      </c>
      <c r="G13" s="54" t="s">
        <v>442</v>
      </c>
      <c r="H13" s="55" t="s">
        <v>675</v>
      </c>
      <c r="I13" s="84">
        <f>20000*0.452872327226105</f>
        <v>9057.4465445220994</v>
      </c>
      <c r="J13" s="55" t="s">
        <v>676</v>
      </c>
      <c r="K13" s="53" t="s">
        <v>442</v>
      </c>
      <c r="L13" s="53" t="s">
        <v>446</v>
      </c>
      <c r="M13" s="53" t="s">
        <v>33</v>
      </c>
      <c r="N13" s="53" t="s">
        <v>34</v>
      </c>
      <c r="O13" s="53" t="s">
        <v>35</v>
      </c>
      <c r="P13" s="53" t="s">
        <v>677</v>
      </c>
      <c r="Q13" s="53" t="s">
        <v>678</v>
      </c>
      <c r="R13" s="56" t="s">
        <v>38</v>
      </c>
      <c r="S13" s="53" t="s">
        <v>59</v>
      </c>
      <c r="T13" s="53" t="s">
        <v>955</v>
      </c>
      <c r="U13" s="53" t="s">
        <v>34</v>
      </c>
      <c r="V13" s="53" t="s">
        <v>34</v>
      </c>
      <c r="W13" s="53">
        <v>1</v>
      </c>
      <c r="X13" s="5"/>
    </row>
    <row r="14" spans="1:24" s="11" customFormat="1" ht="15" customHeight="1" x14ac:dyDescent="0.25">
      <c r="A14" s="65" t="str">
        <f>IF(AND(SUMIF(B:B,B:B,I:I)-SUMIF(PCA!B:B,'Detalhamento fracionamento'!B:B,PCA!I:I)&lt;=0.001,SUMIF(B:B,B:B,I:I)-SUMIF(PCA!B:B,'Detalhamento fracionamento'!B:B,PCA!I:I)&gt;=-0.001),"","ERRO")</f>
        <v/>
      </c>
      <c r="B14" s="52">
        <v>149</v>
      </c>
      <c r="C14" s="52" t="s">
        <v>25</v>
      </c>
      <c r="D14" s="53" t="s">
        <v>658</v>
      </c>
      <c r="E14" s="53">
        <v>3</v>
      </c>
      <c r="F14" s="52" t="s">
        <v>674</v>
      </c>
      <c r="G14" s="54" t="s">
        <v>442</v>
      </c>
      <c r="H14" s="55" t="s">
        <v>675</v>
      </c>
      <c r="I14" s="84">
        <f>20000*0.434261135696265</f>
        <v>8685.2227139253009</v>
      </c>
      <c r="J14" s="55" t="s">
        <v>676</v>
      </c>
      <c r="K14" s="53" t="s">
        <v>442</v>
      </c>
      <c r="L14" s="53" t="s">
        <v>446</v>
      </c>
      <c r="M14" s="53" t="s">
        <v>33</v>
      </c>
      <c r="N14" s="53" t="s">
        <v>34</v>
      </c>
      <c r="O14" s="53" t="s">
        <v>35</v>
      </c>
      <c r="P14" s="53" t="s">
        <v>677</v>
      </c>
      <c r="Q14" s="53" t="s">
        <v>678</v>
      </c>
      <c r="R14" s="56" t="s">
        <v>38</v>
      </c>
      <c r="S14" s="53" t="s">
        <v>59</v>
      </c>
      <c r="T14" s="53" t="s">
        <v>956</v>
      </c>
      <c r="U14" s="53" t="s">
        <v>34</v>
      </c>
      <c r="V14" s="53" t="s">
        <v>34</v>
      </c>
      <c r="W14" s="53">
        <v>2</v>
      </c>
      <c r="X14" s="5"/>
    </row>
    <row r="15" spans="1:24" s="11" customFormat="1" ht="15" customHeight="1" x14ac:dyDescent="0.25">
      <c r="A15" s="65" t="str">
        <f>IF(AND(SUMIF(B:B,B:B,I:I)-SUMIF(PCA!B:B,'Detalhamento fracionamento'!B:B,PCA!I:I)&lt;=0.001,SUMIF(B:B,B:B,I:I)-SUMIF(PCA!B:B,'Detalhamento fracionamento'!B:B,PCA!I:I)&gt;=-0.001),"","ERRO")</f>
        <v/>
      </c>
      <c r="B15" s="52">
        <v>149</v>
      </c>
      <c r="C15" s="52" t="s">
        <v>25</v>
      </c>
      <c r="D15" s="53" t="s">
        <v>658</v>
      </c>
      <c r="E15" s="53">
        <v>3</v>
      </c>
      <c r="F15" s="52" t="s">
        <v>674</v>
      </c>
      <c r="G15" s="54" t="s">
        <v>442</v>
      </c>
      <c r="H15" s="55" t="s">
        <v>675</v>
      </c>
      <c r="I15" s="84">
        <f>20000*0.0047561933909591</f>
        <v>95.123867819181996</v>
      </c>
      <c r="J15" s="55" t="s">
        <v>676</v>
      </c>
      <c r="K15" s="53" t="s">
        <v>442</v>
      </c>
      <c r="L15" s="53" t="s">
        <v>446</v>
      </c>
      <c r="M15" s="53" t="s">
        <v>33</v>
      </c>
      <c r="N15" s="53" t="s">
        <v>34</v>
      </c>
      <c r="O15" s="53" t="s">
        <v>35</v>
      </c>
      <c r="P15" s="53" t="s">
        <v>677</v>
      </c>
      <c r="Q15" s="53" t="s">
        <v>678</v>
      </c>
      <c r="R15" s="56" t="s">
        <v>38</v>
      </c>
      <c r="S15" s="53" t="s">
        <v>59</v>
      </c>
      <c r="T15" s="53" t="s">
        <v>679</v>
      </c>
      <c r="U15" s="53" t="s">
        <v>34</v>
      </c>
      <c r="V15" s="53" t="s">
        <v>34</v>
      </c>
      <c r="W15" s="53">
        <v>3</v>
      </c>
      <c r="X15" s="5"/>
    </row>
    <row r="16" spans="1:24" s="11" customFormat="1" ht="15" customHeight="1" x14ac:dyDescent="0.25">
      <c r="A16" s="65" t="str">
        <f>IF(AND(SUMIF(B:B,B:B,I:I)-SUMIF(PCA!B:B,'Detalhamento fracionamento'!B:B,PCA!I:I)&lt;=0.001,SUMIF(B:B,B:B,I:I)-SUMIF(PCA!B:B,'Detalhamento fracionamento'!B:B,PCA!I:I)&gt;=-0.001),"","ERRO")</f>
        <v/>
      </c>
      <c r="B16" s="52">
        <v>149</v>
      </c>
      <c r="C16" s="52" t="s">
        <v>25</v>
      </c>
      <c r="D16" s="53" t="s">
        <v>658</v>
      </c>
      <c r="E16" s="53">
        <v>3</v>
      </c>
      <c r="F16" s="52" t="s">
        <v>674</v>
      </c>
      <c r="G16" s="54" t="s">
        <v>442</v>
      </c>
      <c r="H16" s="55" t="s">
        <v>675</v>
      </c>
      <c r="I16" s="84">
        <f>20000*0.0094296703751189</f>
        <v>188.593407502378</v>
      </c>
      <c r="J16" s="55" t="s">
        <v>676</v>
      </c>
      <c r="K16" s="53" t="s">
        <v>442</v>
      </c>
      <c r="L16" s="53" t="s">
        <v>446</v>
      </c>
      <c r="M16" s="53" t="s">
        <v>33</v>
      </c>
      <c r="N16" s="53" t="s">
        <v>34</v>
      </c>
      <c r="O16" s="53" t="s">
        <v>35</v>
      </c>
      <c r="P16" s="53" t="s">
        <v>677</v>
      </c>
      <c r="Q16" s="53" t="s">
        <v>678</v>
      </c>
      <c r="R16" s="56" t="s">
        <v>38</v>
      </c>
      <c r="S16" s="53" t="s">
        <v>59</v>
      </c>
      <c r="T16" s="53" t="s">
        <v>957</v>
      </c>
      <c r="U16" s="53" t="s">
        <v>34</v>
      </c>
      <c r="V16" s="53" t="s">
        <v>34</v>
      </c>
      <c r="W16" s="53">
        <v>4</v>
      </c>
      <c r="X16" s="5"/>
    </row>
    <row r="17" spans="1:24" s="11" customFormat="1" ht="15" customHeight="1" x14ac:dyDescent="0.25">
      <c r="A17" s="65" t="str">
        <f>IF(AND(SUMIF(B:B,B:B,I:I)-SUMIF(PCA!B:B,'Detalhamento fracionamento'!B:B,PCA!I:I)&lt;=0.001,SUMIF(B:B,B:B,I:I)-SUMIF(PCA!B:B,'Detalhamento fracionamento'!B:B,PCA!I:I)&gt;=-0.001),"","ERRO")</f>
        <v/>
      </c>
      <c r="B17" s="52">
        <v>149</v>
      </c>
      <c r="C17" s="52" t="s">
        <v>25</v>
      </c>
      <c r="D17" s="53" t="s">
        <v>658</v>
      </c>
      <c r="E17" s="53">
        <v>3</v>
      </c>
      <c r="F17" s="52" t="s">
        <v>674</v>
      </c>
      <c r="G17" s="54" t="s">
        <v>442</v>
      </c>
      <c r="H17" s="55" t="s">
        <v>675</v>
      </c>
      <c r="I17" s="84">
        <f>20000*0.0821373919516936</f>
        <v>1642.747839033872</v>
      </c>
      <c r="J17" s="55" t="s">
        <v>676</v>
      </c>
      <c r="K17" s="53" t="s">
        <v>442</v>
      </c>
      <c r="L17" s="53" t="s">
        <v>446</v>
      </c>
      <c r="M17" s="53" t="s">
        <v>33</v>
      </c>
      <c r="N17" s="53" t="s">
        <v>34</v>
      </c>
      <c r="O17" s="53" t="s">
        <v>35</v>
      </c>
      <c r="P17" s="53" t="s">
        <v>677</v>
      </c>
      <c r="Q17" s="53" t="s">
        <v>678</v>
      </c>
      <c r="R17" s="56" t="s">
        <v>38</v>
      </c>
      <c r="S17" s="53" t="s">
        <v>59</v>
      </c>
      <c r="T17" s="53" t="s">
        <v>958</v>
      </c>
      <c r="U17" s="53" t="s">
        <v>34</v>
      </c>
      <c r="V17" s="53" t="s">
        <v>34</v>
      </c>
      <c r="W17" s="53">
        <v>5</v>
      </c>
      <c r="X17" s="5"/>
    </row>
    <row r="18" spans="1:24" s="11" customFormat="1" ht="15" customHeight="1" x14ac:dyDescent="0.25">
      <c r="A18" s="65" t="str">
        <f>IF(AND(SUMIF(B:B,B:B,I:I)-SUMIF(PCA!B:B,'Detalhamento fracionamento'!B:B,PCA!I:I)&lt;=0.001,SUMIF(B:B,B:B,I:I)-SUMIF(PCA!B:B,'Detalhamento fracionamento'!B:B,PCA!I:I)&gt;=-0.001),"","ERRO")</f>
        <v/>
      </c>
      <c r="B18" s="52">
        <v>149</v>
      </c>
      <c r="C18" s="52" t="s">
        <v>25</v>
      </c>
      <c r="D18" s="53" t="s">
        <v>658</v>
      </c>
      <c r="E18" s="53">
        <v>3</v>
      </c>
      <c r="F18" s="52" t="s">
        <v>674</v>
      </c>
      <c r="G18" s="54" t="s">
        <v>442</v>
      </c>
      <c r="H18" s="55" t="s">
        <v>675</v>
      </c>
      <c r="I18" s="84">
        <f>20000*0.0165432813598577</f>
        <v>330.86562719715397</v>
      </c>
      <c r="J18" s="55" t="s">
        <v>676</v>
      </c>
      <c r="K18" s="53" t="s">
        <v>442</v>
      </c>
      <c r="L18" s="53" t="s">
        <v>446</v>
      </c>
      <c r="M18" s="53" t="s">
        <v>33</v>
      </c>
      <c r="N18" s="53" t="s">
        <v>34</v>
      </c>
      <c r="O18" s="53" t="s">
        <v>35</v>
      </c>
      <c r="P18" s="53" t="s">
        <v>677</v>
      </c>
      <c r="Q18" s="53" t="s">
        <v>678</v>
      </c>
      <c r="R18" s="56" t="s">
        <v>38</v>
      </c>
      <c r="S18" s="53" t="s">
        <v>59</v>
      </c>
      <c r="T18" s="53" t="s">
        <v>959</v>
      </c>
      <c r="U18" s="53" t="s">
        <v>34</v>
      </c>
      <c r="V18" s="53" t="s">
        <v>34</v>
      </c>
      <c r="W18" s="53">
        <v>6</v>
      </c>
      <c r="X18" s="5"/>
    </row>
    <row r="19" spans="1:24" x14ac:dyDescent="0.25">
      <c r="A19" s="65" t="str">
        <f>IF(AND(SUMIF(B:B,B:B,I:I)-SUMIF(PCA!B:B,'Detalhamento fracionamento'!B:B,PCA!I:I)&lt;=0.001,SUMIF(B:B,B:B,I:I)-SUMIF(PCA!B:B,'Detalhamento fracionamento'!B:B,PCA!I:I)&gt;=-0.001),"","ERRO")</f>
        <v/>
      </c>
      <c r="B19" s="48">
        <v>196</v>
      </c>
      <c r="C19" s="48" t="s">
        <v>25</v>
      </c>
      <c r="D19" s="49" t="s">
        <v>26</v>
      </c>
      <c r="E19" s="49">
        <v>4</v>
      </c>
      <c r="F19" s="48"/>
      <c r="G19" s="50" t="s">
        <v>28</v>
      </c>
      <c r="H19" s="51" t="s">
        <v>858</v>
      </c>
      <c r="I19" s="85">
        <f>38019*0.169900296877581</f>
        <v>6459.4393869887517</v>
      </c>
      <c r="J19" s="51"/>
      <c r="K19" s="49" t="s">
        <v>160</v>
      </c>
      <c r="L19" s="49" t="s">
        <v>32</v>
      </c>
      <c r="M19" s="49" t="s">
        <v>34</v>
      </c>
      <c r="N19" s="49" t="s">
        <v>33</v>
      </c>
      <c r="O19" s="49" t="s">
        <v>66</v>
      </c>
      <c r="P19" s="49" t="s">
        <v>859</v>
      </c>
      <c r="Q19" s="48"/>
      <c r="R19" s="57">
        <v>45900</v>
      </c>
      <c r="S19" s="49" t="s">
        <v>59</v>
      </c>
      <c r="T19" s="48" t="s">
        <v>880</v>
      </c>
      <c r="U19" s="49" t="s">
        <v>34</v>
      </c>
      <c r="V19" s="49" t="s">
        <v>34</v>
      </c>
      <c r="W19" s="49">
        <v>1</v>
      </c>
      <c r="X19" s="5"/>
    </row>
    <row r="20" spans="1:24" x14ac:dyDescent="0.25">
      <c r="A20" s="65" t="str">
        <f>IF(AND(SUMIF(B:B,B:B,I:I)-SUMIF(PCA!B:B,'Detalhamento fracionamento'!B:B,PCA!I:I)&lt;=0.001,SUMIF(B:B,B:B,I:I)-SUMIF(PCA!B:B,'Detalhamento fracionamento'!B:B,PCA!I:I)&gt;=-0.001),"","ERRO")</f>
        <v/>
      </c>
      <c r="B20" s="48">
        <v>196</v>
      </c>
      <c r="C20" s="48" t="s">
        <v>25</v>
      </c>
      <c r="D20" s="49" t="s">
        <v>26</v>
      </c>
      <c r="E20" s="49">
        <v>4</v>
      </c>
      <c r="F20" s="48"/>
      <c r="G20" s="50" t="s">
        <v>28</v>
      </c>
      <c r="H20" s="51" t="s">
        <v>858</v>
      </c>
      <c r="I20" s="85">
        <f>38019*0.341741746805872</f>
        <v>12992.679471812447</v>
      </c>
      <c r="J20" s="51"/>
      <c r="K20" s="49" t="s">
        <v>160</v>
      </c>
      <c r="L20" s="49" t="s">
        <v>32</v>
      </c>
      <c r="M20" s="49" t="s">
        <v>34</v>
      </c>
      <c r="N20" s="49" t="s">
        <v>33</v>
      </c>
      <c r="O20" s="49" t="s">
        <v>66</v>
      </c>
      <c r="P20" s="49" t="s">
        <v>859</v>
      </c>
      <c r="Q20" s="48"/>
      <c r="R20" s="57">
        <v>45900</v>
      </c>
      <c r="S20" s="49" t="s">
        <v>59</v>
      </c>
      <c r="T20" s="48" t="s">
        <v>960</v>
      </c>
      <c r="U20" s="49" t="s">
        <v>34</v>
      </c>
      <c r="V20" s="49" t="s">
        <v>34</v>
      </c>
      <c r="W20" s="49">
        <v>2</v>
      </c>
      <c r="X20" s="5"/>
    </row>
    <row r="21" spans="1:24" x14ac:dyDescent="0.25">
      <c r="A21" s="65" t="str">
        <f>IF(AND(SUMIF(B:B,B:B,I:I)-SUMIF(PCA!B:B,'Detalhamento fracionamento'!B:B,PCA!I:I)&lt;=0.001,SUMIF(B:B,B:B,I:I)-SUMIF(PCA!B:B,'Detalhamento fracionamento'!B:B,PCA!I:I)&gt;=-0.001),"","ERRO")</f>
        <v/>
      </c>
      <c r="B21" s="48">
        <v>196</v>
      </c>
      <c r="C21" s="48" t="s">
        <v>25</v>
      </c>
      <c r="D21" s="49" t="s">
        <v>26</v>
      </c>
      <c r="E21" s="49">
        <v>4</v>
      </c>
      <c r="F21" s="48"/>
      <c r="G21" s="50" t="s">
        <v>28</v>
      </c>
      <c r="H21" s="51" t="s">
        <v>858</v>
      </c>
      <c r="I21" s="85">
        <f>38019*0.0804971164641767</f>
        <v>3060.4198708515341</v>
      </c>
      <c r="J21" s="51"/>
      <c r="K21" s="49" t="s">
        <v>160</v>
      </c>
      <c r="L21" s="49" t="s">
        <v>32</v>
      </c>
      <c r="M21" s="49" t="s">
        <v>34</v>
      </c>
      <c r="N21" s="49" t="s">
        <v>33</v>
      </c>
      <c r="O21" s="49" t="s">
        <v>66</v>
      </c>
      <c r="P21" s="49" t="s">
        <v>859</v>
      </c>
      <c r="Q21" s="48"/>
      <c r="R21" s="57">
        <v>45900</v>
      </c>
      <c r="S21" s="49" t="s">
        <v>59</v>
      </c>
      <c r="T21" s="48" t="s">
        <v>84</v>
      </c>
      <c r="U21" s="49" t="s">
        <v>34</v>
      </c>
      <c r="V21" s="49" t="s">
        <v>34</v>
      </c>
      <c r="W21" s="49">
        <v>3</v>
      </c>
      <c r="X21" s="5"/>
    </row>
    <row r="22" spans="1:24" x14ac:dyDescent="0.25">
      <c r="A22" s="65" t="str">
        <f>IF(AND(SUMIF(B:B,B:B,I:I)-SUMIF(PCA!B:B,'Detalhamento fracionamento'!B:B,PCA!I:I)&lt;=0.001,SUMIF(B:B,B:B,I:I)-SUMIF(PCA!B:B,'Detalhamento fracionamento'!B:B,PCA!I:I)&gt;=-0.001),"","ERRO")</f>
        <v/>
      </c>
      <c r="B22" s="48">
        <v>196</v>
      </c>
      <c r="C22" s="48" t="s">
        <v>25</v>
      </c>
      <c r="D22" s="49" t="s">
        <v>26</v>
      </c>
      <c r="E22" s="49">
        <v>4</v>
      </c>
      <c r="F22" s="48"/>
      <c r="G22" s="50" t="s">
        <v>28</v>
      </c>
      <c r="H22" s="51" t="s">
        <v>858</v>
      </c>
      <c r="I22" s="85">
        <f>38019*0.0699837451158276</f>
        <v>2660.7120055586493</v>
      </c>
      <c r="J22" s="51"/>
      <c r="K22" s="49" t="s">
        <v>160</v>
      </c>
      <c r="L22" s="49" t="s">
        <v>32</v>
      </c>
      <c r="M22" s="49" t="s">
        <v>34</v>
      </c>
      <c r="N22" s="49" t="s">
        <v>33</v>
      </c>
      <c r="O22" s="49" t="s">
        <v>66</v>
      </c>
      <c r="P22" s="49" t="s">
        <v>859</v>
      </c>
      <c r="Q22" s="48"/>
      <c r="R22" s="57">
        <v>45900</v>
      </c>
      <c r="S22" s="49" t="s">
        <v>59</v>
      </c>
      <c r="T22" s="48" t="s">
        <v>961</v>
      </c>
      <c r="U22" s="49" t="s">
        <v>34</v>
      </c>
      <c r="V22" s="49" t="s">
        <v>34</v>
      </c>
      <c r="W22" s="49">
        <v>4</v>
      </c>
      <c r="X22" s="5"/>
    </row>
    <row r="23" spans="1:24" x14ac:dyDescent="0.25">
      <c r="A23" s="65" t="str">
        <f>IF(AND(SUMIF(B:B,B:B,I:I)-SUMIF(PCA!B:B,'Detalhamento fracionamento'!B:B,PCA!I:I)&lt;=0.001,SUMIF(B:B,B:B,I:I)-SUMIF(PCA!B:B,'Detalhamento fracionamento'!B:B,PCA!I:I)&gt;=-0.001),"","ERRO")</f>
        <v/>
      </c>
      <c r="B23" s="48">
        <v>196</v>
      </c>
      <c r="C23" s="48" t="s">
        <v>25</v>
      </c>
      <c r="D23" s="49" t="s">
        <v>26</v>
      </c>
      <c r="E23" s="49">
        <v>4</v>
      </c>
      <c r="F23" s="48"/>
      <c r="G23" s="50" t="s">
        <v>28</v>
      </c>
      <c r="H23" s="51" t="s">
        <v>858</v>
      </c>
      <c r="I23" s="85">
        <f>38019*0.209437423965797</f>
        <v>7962.6014217556367</v>
      </c>
      <c r="J23" s="51"/>
      <c r="K23" s="49" t="s">
        <v>160</v>
      </c>
      <c r="L23" s="49" t="s">
        <v>32</v>
      </c>
      <c r="M23" s="49" t="s">
        <v>34</v>
      </c>
      <c r="N23" s="49" t="s">
        <v>33</v>
      </c>
      <c r="O23" s="49" t="s">
        <v>66</v>
      </c>
      <c r="P23" s="49" t="s">
        <v>859</v>
      </c>
      <c r="Q23" s="48"/>
      <c r="R23" s="57">
        <v>45900</v>
      </c>
      <c r="S23" s="49" t="s">
        <v>59</v>
      </c>
      <c r="T23" s="48" t="s">
        <v>962</v>
      </c>
      <c r="U23" s="49" t="s">
        <v>34</v>
      </c>
      <c r="V23" s="49" t="s">
        <v>34</v>
      </c>
      <c r="W23" s="49">
        <v>5</v>
      </c>
      <c r="X23" s="5"/>
    </row>
    <row r="24" spans="1:24" x14ac:dyDescent="0.25">
      <c r="A24" s="65" t="str">
        <f>IF(AND(SUMIF(B:B,B:B,I:I)-SUMIF(PCA!B:B,'Detalhamento fracionamento'!B:B,PCA!I:I)&lt;=0.001,SUMIF(B:B,B:B,I:I)-SUMIF(PCA!B:B,'Detalhamento fracionamento'!B:B,PCA!I:I)&gt;=-0.001),"","ERRO")</f>
        <v/>
      </c>
      <c r="B24" s="48">
        <v>196</v>
      </c>
      <c r="C24" s="48" t="s">
        <v>25</v>
      </c>
      <c r="D24" s="49" t="s">
        <v>26</v>
      </c>
      <c r="E24" s="49">
        <v>4</v>
      </c>
      <c r="F24" s="48"/>
      <c r="G24" s="50" t="s">
        <v>28</v>
      </c>
      <c r="H24" s="51" t="s">
        <v>858</v>
      </c>
      <c r="I24" s="85">
        <f>38019*0.128439670770746</f>
        <v>4883.1478430329926</v>
      </c>
      <c r="J24" s="51"/>
      <c r="K24" s="49" t="s">
        <v>160</v>
      </c>
      <c r="L24" s="49" t="s">
        <v>32</v>
      </c>
      <c r="M24" s="49" t="s">
        <v>34</v>
      </c>
      <c r="N24" s="49" t="s">
        <v>33</v>
      </c>
      <c r="O24" s="49" t="s">
        <v>66</v>
      </c>
      <c r="P24" s="49" t="s">
        <v>859</v>
      </c>
      <c r="Q24" s="48"/>
      <c r="R24" s="57">
        <v>45900</v>
      </c>
      <c r="S24" s="49" t="s">
        <v>59</v>
      </c>
      <c r="T24" s="48" t="s">
        <v>963</v>
      </c>
      <c r="U24" s="49" t="s">
        <v>34</v>
      </c>
      <c r="V24" s="49" t="s">
        <v>34</v>
      </c>
      <c r="W24" s="49">
        <v>6</v>
      </c>
      <c r="X24" s="5"/>
    </row>
    <row r="25" spans="1:24" s="11" customFormat="1" ht="15" customHeight="1" x14ac:dyDescent="0.25">
      <c r="A25" s="65" t="str">
        <f>IF(AND(SUMIF(B:B,B:B,I:I)-SUMIF(PCA!B:B,'Detalhamento fracionamento'!B:B,PCA!I:I)&lt;=0.001,SUMIF(B:B,B:B,I:I)-SUMIF(PCA!B:B,'Detalhamento fracionamento'!B:B,PCA!I:I)&gt;=-0.001),"","ERRO")</f>
        <v/>
      </c>
      <c r="B25" s="52">
        <v>199</v>
      </c>
      <c r="C25" s="52" t="s">
        <v>25</v>
      </c>
      <c r="D25" s="53" t="s">
        <v>26</v>
      </c>
      <c r="E25" s="53">
        <v>3</v>
      </c>
      <c r="F25" s="52"/>
      <c r="G25" s="54" t="s">
        <v>28</v>
      </c>
      <c r="H25" s="55" t="s">
        <v>869</v>
      </c>
      <c r="I25" s="84">
        <f>7315*0.577233074151337</f>
        <v>4222.4599374170302</v>
      </c>
      <c r="J25" s="55" t="s">
        <v>870</v>
      </c>
      <c r="K25" s="53" t="s">
        <v>99</v>
      </c>
      <c r="L25" s="53" t="s">
        <v>32</v>
      </c>
      <c r="M25" s="53" t="s">
        <v>34</v>
      </c>
      <c r="N25" s="53" t="s">
        <v>33</v>
      </c>
      <c r="O25" s="53" t="s">
        <v>66</v>
      </c>
      <c r="P25" s="53" t="s">
        <v>871</v>
      </c>
      <c r="Q25" s="53"/>
      <c r="R25" s="56">
        <v>45870</v>
      </c>
      <c r="S25" s="53" t="s">
        <v>59</v>
      </c>
      <c r="T25" s="53" t="s">
        <v>964</v>
      </c>
      <c r="U25" s="53" t="s">
        <v>34</v>
      </c>
      <c r="V25" s="53" t="s">
        <v>34</v>
      </c>
      <c r="W25" s="53">
        <v>1</v>
      </c>
      <c r="X25" s="5"/>
    </row>
    <row r="26" spans="1:24" s="11" customFormat="1" ht="15" customHeight="1" x14ac:dyDescent="0.25">
      <c r="A26" s="65" t="str">
        <f>IF(AND(SUMIF(B:B,B:B,I:I)-SUMIF(PCA!B:B,'Detalhamento fracionamento'!B:B,PCA!I:I)&lt;=0.001,SUMIF(B:B,B:B,I:I)-SUMIF(PCA!B:B,'Detalhamento fracionamento'!B:B,PCA!I:I)&gt;=-0.001),"","ERRO")</f>
        <v/>
      </c>
      <c r="B26" s="52">
        <v>199</v>
      </c>
      <c r="C26" s="52" t="s">
        <v>25</v>
      </c>
      <c r="D26" s="53" t="s">
        <v>26</v>
      </c>
      <c r="E26" s="53">
        <v>3</v>
      </c>
      <c r="F26" s="52"/>
      <c r="G26" s="54" t="s">
        <v>28</v>
      </c>
      <c r="H26" s="55" t="s">
        <v>869</v>
      </c>
      <c r="I26" s="84">
        <f>7315*0.422766925848663</f>
        <v>3092.5400625829698</v>
      </c>
      <c r="J26" s="55" t="s">
        <v>870</v>
      </c>
      <c r="K26" s="53" t="s">
        <v>99</v>
      </c>
      <c r="L26" s="53" t="s">
        <v>32</v>
      </c>
      <c r="M26" s="53" t="s">
        <v>34</v>
      </c>
      <c r="N26" s="53" t="s">
        <v>33</v>
      </c>
      <c r="O26" s="53" t="s">
        <v>66</v>
      </c>
      <c r="P26" s="53" t="s">
        <v>871</v>
      </c>
      <c r="Q26" s="53"/>
      <c r="R26" s="56">
        <v>45870</v>
      </c>
      <c r="S26" s="53" t="s">
        <v>59</v>
      </c>
      <c r="T26" s="53" t="s">
        <v>965</v>
      </c>
      <c r="U26" s="53" t="s">
        <v>34</v>
      </c>
      <c r="V26" s="53" t="s">
        <v>34</v>
      </c>
      <c r="W26" s="53">
        <v>2</v>
      </c>
      <c r="X26" s="5"/>
    </row>
    <row r="27" spans="1:24" x14ac:dyDescent="0.25">
      <c r="A27" s="65" t="str">
        <f>IF(AND(SUMIF(B:B,B:B,I:I)-SUMIF(PCA!B:B,'Detalhamento fracionamento'!B:B,PCA!I:I)&lt;=0.001,SUMIF(B:B,B:B,I:I)-SUMIF(PCA!B:B,'Detalhamento fracionamento'!B:B,PCA!I:I)&gt;=-0.001),"","ERRO")</f>
        <v/>
      </c>
      <c r="B27" s="48">
        <v>201</v>
      </c>
      <c r="C27" s="48" t="s">
        <v>25</v>
      </c>
      <c r="D27" s="49" t="s">
        <v>26</v>
      </c>
      <c r="E27" s="49">
        <v>3</v>
      </c>
      <c r="F27" s="48" t="s">
        <v>844</v>
      </c>
      <c r="G27" s="50" t="s">
        <v>28</v>
      </c>
      <c r="H27" s="51" t="s">
        <v>876</v>
      </c>
      <c r="I27" s="85">
        <f>20000*0.697969289670837</f>
        <v>13959.385793416741</v>
      </c>
      <c r="J27" s="51" t="s">
        <v>870</v>
      </c>
      <c r="K27" s="49" t="s">
        <v>99</v>
      </c>
      <c r="L27" s="49" t="s">
        <v>32</v>
      </c>
      <c r="M27" s="49" t="s">
        <v>34</v>
      </c>
      <c r="N27" s="49" t="s">
        <v>33</v>
      </c>
      <c r="O27" s="49" t="s">
        <v>66</v>
      </c>
      <c r="P27" s="49" t="s">
        <v>877</v>
      </c>
      <c r="Q27" s="48" t="s">
        <v>844</v>
      </c>
      <c r="R27" s="57">
        <v>45962</v>
      </c>
      <c r="S27" s="49" t="s">
        <v>59</v>
      </c>
      <c r="T27" s="48" t="s">
        <v>966</v>
      </c>
      <c r="U27" s="49" t="s">
        <v>34</v>
      </c>
      <c r="V27" s="49" t="s">
        <v>34</v>
      </c>
      <c r="W27" s="49">
        <v>1</v>
      </c>
      <c r="X27" s="5"/>
    </row>
    <row r="28" spans="1:24" x14ac:dyDescent="0.25">
      <c r="A28" s="65" t="str">
        <f>IF(AND(SUMIF(B:B,B:B,I:I)-SUMIF(PCA!B:B,'Detalhamento fracionamento'!B:B,PCA!I:I)&lt;=0.001,SUMIF(B:B,B:B,I:I)-SUMIF(PCA!B:B,'Detalhamento fracionamento'!B:B,PCA!I:I)&gt;=-0.001),"","ERRO")</f>
        <v/>
      </c>
      <c r="B28" s="48">
        <v>201</v>
      </c>
      <c r="C28" s="48" t="s">
        <v>25</v>
      </c>
      <c r="D28" s="49" t="s">
        <v>26</v>
      </c>
      <c r="E28" s="49">
        <v>3</v>
      </c>
      <c r="F28" s="48" t="s">
        <v>844</v>
      </c>
      <c r="G28" s="50" t="s">
        <v>28</v>
      </c>
      <c r="H28" s="51" t="s">
        <v>876</v>
      </c>
      <c r="I28" s="85">
        <f>20000*0.041993207263163</f>
        <v>839.86414526326007</v>
      </c>
      <c r="J28" s="51" t="s">
        <v>870</v>
      </c>
      <c r="K28" s="49" t="s">
        <v>99</v>
      </c>
      <c r="L28" s="49" t="s">
        <v>32</v>
      </c>
      <c r="M28" s="49" t="s">
        <v>34</v>
      </c>
      <c r="N28" s="49" t="s">
        <v>33</v>
      </c>
      <c r="O28" s="49" t="s">
        <v>66</v>
      </c>
      <c r="P28" s="49" t="s">
        <v>877</v>
      </c>
      <c r="Q28" s="48" t="s">
        <v>844</v>
      </c>
      <c r="R28" s="57">
        <v>45962</v>
      </c>
      <c r="S28" s="49" t="s">
        <v>59</v>
      </c>
      <c r="T28" s="48" t="s">
        <v>967</v>
      </c>
      <c r="U28" s="49" t="s">
        <v>34</v>
      </c>
      <c r="V28" s="49" t="s">
        <v>34</v>
      </c>
      <c r="W28" s="49">
        <v>2</v>
      </c>
      <c r="X28" s="5"/>
    </row>
    <row r="29" spans="1:24" x14ac:dyDescent="0.25">
      <c r="A29" s="65" t="str">
        <f>IF(AND(SUMIF(B:B,B:B,I:I)-SUMIF(PCA!B:B,'Detalhamento fracionamento'!B:B,PCA!I:I)&lt;=0.001,SUMIF(B:B,B:B,I:I)-SUMIF(PCA!B:B,'Detalhamento fracionamento'!B:B,PCA!I:I)&gt;=-0.001),"","ERRO")</f>
        <v/>
      </c>
      <c r="B29" s="48">
        <v>201</v>
      </c>
      <c r="C29" s="48" t="s">
        <v>25</v>
      </c>
      <c r="D29" s="49" t="s">
        <v>26</v>
      </c>
      <c r="E29" s="49">
        <v>3</v>
      </c>
      <c r="F29" s="48" t="s">
        <v>844</v>
      </c>
      <c r="G29" s="50" t="s">
        <v>28</v>
      </c>
      <c r="H29" s="51" t="s">
        <v>876</v>
      </c>
      <c r="I29" s="85">
        <f>20000*0.126008384260217</f>
        <v>2520.1676852043397</v>
      </c>
      <c r="J29" s="51" t="s">
        <v>870</v>
      </c>
      <c r="K29" s="49" t="s">
        <v>99</v>
      </c>
      <c r="L29" s="49" t="s">
        <v>32</v>
      </c>
      <c r="M29" s="49" t="s">
        <v>34</v>
      </c>
      <c r="N29" s="49" t="s">
        <v>33</v>
      </c>
      <c r="O29" s="49" t="s">
        <v>66</v>
      </c>
      <c r="P29" s="49" t="s">
        <v>877</v>
      </c>
      <c r="Q29" s="48" t="s">
        <v>844</v>
      </c>
      <c r="R29" s="57">
        <v>45962</v>
      </c>
      <c r="S29" s="49" t="s">
        <v>59</v>
      </c>
      <c r="T29" s="48" t="s">
        <v>968</v>
      </c>
      <c r="U29" s="49" t="s">
        <v>34</v>
      </c>
      <c r="V29" s="49" t="s">
        <v>34</v>
      </c>
      <c r="W29" s="49">
        <v>3</v>
      </c>
      <c r="X29" s="5"/>
    </row>
    <row r="30" spans="1:24" x14ac:dyDescent="0.25">
      <c r="A30" s="65" t="str">
        <f>IF(AND(SUMIF(B:B,B:B,I:I)-SUMIF(PCA!B:B,'Detalhamento fracionamento'!B:B,PCA!I:I)&lt;=0.001,SUMIF(B:B,B:B,I:I)-SUMIF(PCA!B:B,'Detalhamento fracionamento'!B:B,PCA!I:I)&gt;=-0.001),"","ERRO")</f>
        <v/>
      </c>
      <c r="B30" s="48">
        <v>201</v>
      </c>
      <c r="C30" s="48" t="s">
        <v>25</v>
      </c>
      <c r="D30" s="49" t="s">
        <v>26</v>
      </c>
      <c r="E30" s="49">
        <v>3</v>
      </c>
      <c r="F30" s="48" t="s">
        <v>844</v>
      </c>
      <c r="G30" s="50" t="s">
        <v>28</v>
      </c>
      <c r="H30" s="51" t="s">
        <v>876</v>
      </c>
      <c r="I30" s="85">
        <f>20000*0.0590309763820167</f>
        <v>1180.6195276403341</v>
      </c>
      <c r="J30" s="51" t="s">
        <v>870</v>
      </c>
      <c r="K30" s="49" t="s">
        <v>99</v>
      </c>
      <c r="L30" s="49" t="s">
        <v>32</v>
      </c>
      <c r="M30" s="49" t="s">
        <v>34</v>
      </c>
      <c r="N30" s="49" t="s">
        <v>33</v>
      </c>
      <c r="O30" s="49" t="s">
        <v>66</v>
      </c>
      <c r="P30" s="49" t="s">
        <v>877</v>
      </c>
      <c r="Q30" s="48" t="s">
        <v>844</v>
      </c>
      <c r="R30" s="57">
        <v>45962</v>
      </c>
      <c r="S30" s="49" t="s">
        <v>59</v>
      </c>
      <c r="T30" s="48" t="s">
        <v>969</v>
      </c>
      <c r="U30" s="49" t="s">
        <v>34</v>
      </c>
      <c r="V30" s="49" t="s">
        <v>34</v>
      </c>
      <c r="W30" s="49">
        <v>4</v>
      </c>
      <c r="X30" s="5"/>
    </row>
    <row r="31" spans="1:24" x14ac:dyDescent="0.25">
      <c r="A31" s="65" t="str">
        <f>IF(AND(SUMIF(B:B,B:B,I:I)-SUMIF(PCA!B:B,'Detalhamento fracionamento'!B:B,PCA!I:I)&lt;=0.001,SUMIF(B:B,B:B,I:I)-SUMIF(PCA!B:B,'Detalhamento fracionamento'!B:B,PCA!I:I)&gt;=-0.001),"","ERRO")</f>
        <v/>
      </c>
      <c r="B31" s="48">
        <v>201</v>
      </c>
      <c r="C31" s="48" t="s">
        <v>25</v>
      </c>
      <c r="D31" s="49" t="s">
        <v>26</v>
      </c>
      <c r="E31" s="49">
        <v>3</v>
      </c>
      <c r="F31" s="48" t="s">
        <v>844</v>
      </c>
      <c r="G31" s="50" t="s">
        <v>28</v>
      </c>
      <c r="H31" s="51" t="s">
        <v>876</v>
      </c>
      <c r="I31" s="85">
        <f>20000*0.016982641049958</f>
        <v>339.65282099915999</v>
      </c>
      <c r="J31" s="51" t="s">
        <v>870</v>
      </c>
      <c r="K31" s="49" t="s">
        <v>99</v>
      </c>
      <c r="L31" s="49" t="s">
        <v>32</v>
      </c>
      <c r="M31" s="49" t="s">
        <v>34</v>
      </c>
      <c r="N31" s="49" t="s">
        <v>33</v>
      </c>
      <c r="O31" s="49" t="s">
        <v>66</v>
      </c>
      <c r="P31" s="49" t="s">
        <v>877</v>
      </c>
      <c r="Q31" s="48" t="s">
        <v>844</v>
      </c>
      <c r="R31" s="57">
        <v>45962</v>
      </c>
      <c r="S31" s="49" t="s">
        <v>59</v>
      </c>
      <c r="T31" s="48" t="s">
        <v>970</v>
      </c>
      <c r="U31" s="49" t="s">
        <v>34</v>
      </c>
      <c r="V31" s="49" t="s">
        <v>34</v>
      </c>
      <c r="W31" s="49">
        <v>5</v>
      </c>
      <c r="X31" s="5"/>
    </row>
    <row r="32" spans="1:24" x14ac:dyDescent="0.25">
      <c r="A32" s="65" t="str">
        <f>IF(AND(SUMIF(B:B,B:B,I:I)-SUMIF(PCA!B:B,'Detalhamento fracionamento'!B:B,PCA!I:I)&lt;=0.001,SUMIF(B:B,B:B,I:I)-SUMIF(PCA!B:B,'Detalhamento fracionamento'!B:B,PCA!I:I)&gt;=-0.001),"","ERRO")</f>
        <v/>
      </c>
      <c r="B32" s="48">
        <v>201</v>
      </c>
      <c r="C32" s="48" t="s">
        <v>25</v>
      </c>
      <c r="D32" s="49" t="s">
        <v>26</v>
      </c>
      <c r="E32" s="49">
        <v>3</v>
      </c>
      <c r="F32" s="48" t="s">
        <v>844</v>
      </c>
      <c r="G32" s="50" t="s">
        <v>28</v>
      </c>
      <c r="H32" s="51" t="s">
        <v>876</v>
      </c>
      <c r="I32" s="85">
        <f>20000*0.0118565296001777</f>
        <v>237.130592003554</v>
      </c>
      <c r="J32" s="51" t="s">
        <v>870</v>
      </c>
      <c r="K32" s="49" t="s">
        <v>99</v>
      </c>
      <c r="L32" s="49" t="s">
        <v>32</v>
      </c>
      <c r="M32" s="49" t="s">
        <v>34</v>
      </c>
      <c r="N32" s="49" t="s">
        <v>33</v>
      </c>
      <c r="O32" s="49" t="s">
        <v>66</v>
      </c>
      <c r="P32" s="49" t="s">
        <v>877</v>
      </c>
      <c r="Q32" s="48" t="s">
        <v>844</v>
      </c>
      <c r="R32" s="57">
        <v>45962</v>
      </c>
      <c r="S32" s="49" t="s">
        <v>59</v>
      </c>
      <c r="T32" s="48" t="s">
        <v>971</v>
      </c>
      <c r="U32" s="49" t="s">
        <v>34</v>
      </c>
      <c r="V32" s="49" t="s">
        <v>34</v>
      </c>
      <c r="W32" s="49">
        <v>6</v>
      </c>
      <c r="X32" s="5"/>
    </row>
    <row r="33" spans="1:24" x14ac:dyDescent="0.25">
      <c r="A33" s="65" t="str">
        <f>IF(AND(SUMIF(B:B,B:B,I:I)-SUMIF(PCA!B:B,'Detalhamento fracionamento'!B:B,PCA!I:I)&lt;=0.001,SUMIF(B:B,B:B,I:I)-SUMIF(PCA!B:B,'Detalhamento fracionamento'!B:B,PCA!I:I)&gt;=-0.001),"","ERRO")</f>
        <v/>
      </c>
      <c r="B33" s="48">
        <v>201</v>
      </c>
      <c r="C33" s="48" t="s">
        <v>25</v>
      </c>
      <c r="D33" s="49" t="s">
        <v>26</v>
      </c>
      <c r="E33" s="49">
        <v>3</v>
      </c>
      <c r="F33" s="48" t="s">
        <v>844</v>
      </c>
      <c r="G33" s="50" t="s">
        <v>28</v>
      </c>
      <c r="H33" s="51" t="s">
        <v>876</v>
      </c>
      <c r="I33" s="85">
        <f>20000*0.0371275559649769</f>
        <v>742.55111929953796</v>
      </c>
      <c r="J33" s="51" t="s">
        <v>870</v>
      </c>
      <c r="K33" s="49" t="s">
        <v>99</v>
      </c>
      <c r="L33" s="49" t="s">
        <v>32</v>
      </c>
      <c r="M33" s="49" t="s">
        <v>34</v>
      </c>
      <c r="N33" s="49" t="s">
        <v>33</v>
      </c>
      <c r="O33" s="49" t="s">
        <v>66</v>
      </c>
      <c r="P33" s="49" t="s">
        <v>877</v>
      </c>
      <c r="Q33" s="48" t="s">
        <v>844</v>
      </c>
      <c r="R33" s="57">
        <v>45962</v>
      </c>
      <c r="S33" s="49" t="s">
        <v>59</v>
      </c>
      <c r="T33" s="48" t="s">
        <v>972</v>
      </c>
      <c r="U33" s="49" t="s">
        <v>34</v>
      </c>
      <c r="V33" s="49" t="s">
        <v>34</v>
      </c>
      <c r="W33" s="49">
        <v>7</v>
      </c>
      <c r="X33" s="5"/>
    </row>
    <row r="34" spans="1:24" x14ac:dyDescent="0.25">
      <c r="A34" s="65" t="str">
        <f>IF(AND(SUMIF(B:B,B:B,I:I)-SUMIF(PCA!B:B,'Detalhamento fracionamento'!B:B,PCA!I:I)&lt;=0.001,SUMIF(B:B,B:B,I:I)-SUMIF(PCA!B:B,'Detalhamento fracionamento'!B:B,PCA!I:I)&gt;=-0.001),"","ERRO")</f>
        <v/>
      </c>
      <c r="B34" s="48">
        <v>201</v>
      </c>
      <c r="C34" s="48" t="s">
        <v>25</v>
      </c>
      <c r="D34" s="49" t="s">
        <v>26</v>
      </c>
      <c r="E34" s="49">
        <v>3</v>
      </c>
      <c r="F34" s="48" t="s">
        <v>844</v>
      </c>
      <c r="G34" s="50" t="s">
        <v>28</v>
      </c>
      <c r="H34" s="51" t="s">
        <v>876</v>
      </c>
      <c r="I34" s="85">
        <f>20000*0.00903141580865287</f>
        <v>180.62831617305739</v>
      </c>
      <c r="J34" s="51" t="s">
        <v>870</v>
      </c>
      <c r="K34" s="49" t="s">
        <v>99</v>
      </c>
      <c r="L34" s="49" t="s">
        <v>32</v>
      </c>
      <c r="M34" s="49" t="s">
        <v>34</v>
      </c>
      <c r="N34" s="49" t="s">
        <v>33</v>
      </c>
      <c r="O34" s="49" t="s">
        <v>66</v>
      </c>
      <c r="P34" s="49" t="s">
        <v>877</v>
      </c>
      <c r="Q34" s="48" t="s">
        <v>844</v>
      </c>
      <c r="R34" s="57">
        <v>45962</v>
      </c>
      <c r="S34" s="49" t="s">
        <v>59</v>
      </c>
      <c r="T34" s="48" t="s">
        <v>973</v>
      </c>
      <c r="U34" s="49" t="s">
        <v>34</v>
      </c>
      <c r="V34" s="49" t="s">
        <v>34</v>
      </c>
      <c r="W34" s="49">
        <v>8</v>
      </c>
      <c r="X34" s="5"/>
    </row>
    <row r="35" spans="1:24" x14ac:dyDescent="0.25">
      <c r="A35" s="65" t="str">
        <f>IF(AND(SUMIF(B:B,B:B,I:I)-SUMIF(PCA!B:B,'Detalhamento fracionamento'!B:B,PCA!I:I)&lt;=0.001,SUMIF(B:B,B:B,I:I)-SUMIF(PCA!B:B,'Detalhamento fracionamento'!B:B,PCA!I:I)&gt;=-0.001),"","ERRO")</f>
        <v/>
      </c>
      <c r="B35" s="52">
        <v>37</v>
      </c>
      <c r="C35" s="52" t="s">
        <v>25</v>
      </c>
      <c r="D35" s="53" t="s">
        <v>26</v>
      </c>
      <c r="E35" s="53">
        <v>3</v>
      </c>
      <c r="F35" s="52" t="s">
        <v>391</v>
      </c>
      <c r="G35" s="54" t="s">
        <v>28</v>
      </c>
      <c r="H35" s="55" t="s">
        <v>974</v>
      </c>
      <c r="I35" s="84">
        <v>2077</v>
      </c>
      <c r="J35" s="55" t="s">
        <v>975</v>
      </c>
      <c r="K35" s="53" t="s">
        <v>31</v>
      </c>
      <c r="L35" s="53" t="s">
        <v>32</v>
      </c>
      <c r="M35" s="53" t="s">
        <v>34</v>
      </c>
      <c r="N35" s="53" t="s">
        <v>33</v>
      </c>
      <c r="O35" s="53" t="s">
        <v>799</v>
      </c>
      <c r="P35" s="53" t="s">
        <v>976</v>
      </c>
      <c r="Q35" s="53"/>
      <c r="R35" s="56" t="s">
        <v>38</v>
      </c>
      <c r="S35" s="53" t="s">
        <v>59</v>
      </c>
      <c r="T35" s="53" t="s">
        <v>977</v>
      </c>
      <c r="U35" s="53" t="s">
        <v>34</v>
      </c>
      <c r="V35" s="53" t="s">
        <v>34</v>
      </c>
      <c r="W35" s="53">
        <v>3</v>
      </c>
      <c r="X35" s="5"/>
    </row>
    <row r="36" spans="1:24" x14ac:dyDescent="0.25">
      <c r="A36" s="65" t="str">
        <f>IF(AND(SUMIF(B:B,B:B,I:I)-SUMIF(PCA!B:B,'Detalhamento fracionamento'!B:B,PCA!I:I)&lt;=0.001,SUMIF(B:B,B:B,I:I)-SUMIF(PCA!B:B,'Detalhamento fracionamento'!B:B,PCA!I:I)&gt;=-0.001),"","ERRO")</f>
        <v/>
      </c>
      <c r="B36" s="52">
        <v>37</v>
      </c>
      <c r="C36" s="52" t="s">
        <v>25</v>
      </c>
      <c r="D36" s="53" t="s">
        <v>26</v>
      </c>
      <c r="E36" s="53">
        <v>3</v>
      </c>
      <c r="F36" s="52" t="s">
        <v>75</v>
      </c>
      <c r="G36" s="54" t="s">
        <v>28</v>
      </c>
      <c r="H36" s="55" t="s">
        <v>978</v>
      </c>
      <c r="I36" s="84">
        <v>423</v>
      </c>
      <c r="J36" s="55" t="s">
        <v>975</v>
      </c>
      <c r="K36" s="53" t="s">
        <v>31</v>
      </c>
      <c r="L36" s="53" t="s">
        <v>32</v>
      </c>
      <c r="M36" s="53" t="s">
        <v>34</v>
      </c>
      <c r="N36" s="53" t="s">
        <v>33</v>
      </c>
      <c r="O36" s="53" t="s">
        <v>799</v>
      </c>
      <c r="P36" s="53" t="s">
        <v>976</v>
      </c>
      <c r="Q36" s="53"/>
      <c r="R36" s="56" t="s">
        <v>38</v>
      </c>
      <c r="S36" s="53" t="s">
        <v>59</v>
      </c>
      <c r="T36" s="53" t="s">
        <v>979</v>
      </c>
      <c r="U36" s="53" t="s">
        <v>34</v>
      </c>
      <c r="V36" s="53" t="s">
        <v>34</v>
      </c>
      <c r="W36" s="53">
        <v>4</v>
      </c>
      <c r="X36" s="5"/>
    </row>
    <row r="37" spans="1:24" x14ac:dyDescent="0.25">
      <c r="A37" s="65" t="str">
        <f>IF(AND(SUMIF(B:B,B:B,I:I)-SUMIF(PCA!B:B,'Detalhamento fracionamento'!B:B,PCA!I:I)&lt;=0.001,SUMIF(B:B,B:B,I:I)-SUMIF(PCA!B:B,'Detalhamento fracionamento'!B:B,PCA!I:I)&gt;=-0.001),"","ERRO")</f>
        <v/>
      </c>
      <c r="B37" s="52">
        <v>37</v>
      </c>
      <c r="C37" s="52" t="s">
        <v>25</v>
      </c>
      <c r="D37" s="53" t="s">
        <v>26</v>
      </c>
      <c r="E37" s="53">
        <v>3</v>
      </c>
      <c r="F37" s="52" t="s">
        <v>75</v>
      </c>
      <c r="G37" s="54" t="s">
        <v>28</v>
      </c>
      <c r="H37" s="55" t="s">
        <v>980</v>
      </c>
      <c r="I37" s="84">
        <v>1900</v>
      </c>
      <c r="J37" s="55" t="s">
        <v>981</v>
      </c>
      <c r="K37" s="53" t="s">
        <v>151</v>
      </c>
      <c r="L37" s="53" t="s">
        <v>32</v>
      </c>
      <c r="M37" s="53" t="s">
        <v>34</v>
      </c>
      <c r="N37" s="53" t="s">
        <v>33</v>
      </c>
      <c r="O37" s="53" t="s">
        <v>799</v>
      </c>
      <c r="P37" s="53" t="s">
        <v>982</v>
      </c>
      <c r="Q37" s="53"/>
      <c r="R37" s="56" t="s">
        <v>38</v>
      </c>
      <c r="S37" s="53" t="s">
        <v>59</v>
      </c>
      <c r="T37" s="53" t="s">
        <v>983</v>
      </c>
      <c r="U37" s="53" t="s">
        <v>34</v>
      </c>
      <c r="V37" s="53" t="s">
        <v>34</v>
      </c>
      <c r="W37" s="53">
        <v>5</v>
      </c>
      <c r="X37" s="5"/>
    </row>
    <row r="38" spans="1:24" x14ac:dyDescent="0.25">
      <c r="A38" s="65" t="str">
        <f>IF(AND(SUMIF(B:B,B:B,I:I)-SUMIF(PCA!B:B,'Detalhamento fracionamento'!B:B,PCA!I:I)&lt;=0.001,SUMIF(B:B,B:B,I:I)-SUMIF(PCA!B:B,'Detalhamento fracionamento'!B:B,PCA!I:I)&gt;=-0.001),"","ERRO")</f>
        <v/>
      </c>
      <c r="B38" s="52">
        <v>37</v>
      </c>
      <c r="C38" s="52" t="s">
        <v>25</v>
      </c>
      <c r="D38" s="53" t="s">
        <v>26</v>
      </c>
      <c r="E38" s="53">
        <v>3</v>
      </c>
      <c r="F38" s="52"/>
      <c r="G38" s="54" t="s">
        <v>28</v>
      </c>
      <c r="H38" s="55" t="s">
        <v>984</v>
      </c>
      <c r="I38" s="84">
        <v>1500</v>
      </c>
      <c r="J38" s="55" t="s">
        <v>985</v>
      </c>
      <c r="K38" s="53" t="s">
        <v>151</v>
      </c>
      <c r="L38" s="53" t="s">
        <v>32</v>
      </c>
      <c r="M38" s="53" t="s">
        <v>34</v>
      </c>
      <c r="N38" s="53" t="s">
        <v>33</v>
      </c>
      <c r="O38" s="53" t="s">
        <v>799</v>
      </c>
      <c r="P38" s="53" t="s">
        <v>986</v>
      </c>
      <c r="Q38" s="53"/>
      <c r="R38" s="56" t="s">
        <v>38</v>
      </c>
      <c r="S38" s="53" t="s">
        <v>59</v>
      </c>
      <c r="T38" s="53" t="s">
        <v>987</v>
      </c>
      <c r="U38" s="53" t="s">
        <v>34</v>
      </c>
      <c r="V38" s="53" t="s">
        <v>34</v>
      </c>
      <c r="W38" s="53">
        <v>6</v>
      </c>
      <c r="X38" s="5"/>
    </row>
    <row r="39" spans="1:24" x14ac:dyDescent="0.25">
      <c r="A39" s="65" t="str">
        <f>IF(AND(SUMIF(B:B,B:B,I:I)-SUMIF(PCA!B:B,'Detalhamento fracionamento'!B:B,PCA!I:I)&lt;=0.001,SUMIF(B:B,B:B,I:I)-SUMIF(PCA!B:B,'Detalhamento fracionamento'!B:B,PCA!I:I)&gt;=-0.001),"","ERRO")</f>
        <v/>
      </c>
      <c r="B39" s="52">
        <v>37</v>
      </c>
      <c r="C39" s="52" t="s">
        <v>25</v>
      </c>
      <c r="D39" s="53" t="s">
        <v>26</v>
      </c>
      <c r="E39" s="53">
        <v>3</v>
      </c>
      <c r="F39" s="52"/>
      <c r="G39" s="54" t="s">
        <v>28</v>
      </c>
      <c r="H39" s="55" t="s">
        <v>988</v>
      </c>
      <c r="I39" s="84">
        <v>5653</v>
      </c>
      <c r="J39" s="55" t="s">
        <v>989</v>
      </c>
      <c r="K39" s="53" t="s">
        <v>151</v>
      </c>
      <c r="L39" s="53" t="s">
        <v>32</v>
      </c>
      <c r="M39" s="53" t="s">
        <v>34</v>
      </c>
      <c r="N39" s="53" t="s">
        <v>33</v>
      </c>
      <c r="O39" s="53" t="s">
        <v>799</v>
      </c>
      <c r="P39" s="53" t="s">
        <v>990</v>
      </c>
      <c r="Q39" s="53"/>
      <c r="R39" s="56" t="s">
        <v>38</v>
      </c>
      <c r="S39" s="53" t="s">
        <v>59</v>
      </c>
      <c r="T39" s="53" t="s">
        <v>991</v>
      </c>
      <c r="U39" s="53" t="s">
        <v>34</v>
      </c>
      <c r="V39" s="53" t="s">
        <v>34</v>
      </c>
      <c r="W39" s="53">
        <v>7</v>
      </c>
      <c r="X39" s="5"/>
    </row>
    <row r="40" spans="1:24" x14ac:dyDescent="0.25">
      <c r="A40" s="65" t="str">
        <f>IF(AND(SUMIF(B:B,B:B,I:I)-SUMIF(PCA!B:B,'Detalhamento fracionamento'!B:B,PCA!I:I)&lt;=0.001,SUMIF(B:B,B:B,I:I)-SUMIF(PCA!B:B,'Detalhamento fracionamento'!B:B,PCA!I:I)&gt;=-0.001),"","ERRO")</f>
        <v/>
      </c>
      <c r="B40" s="52">
        <v>37</v>
      </c>
      <c r="C40" s="52" t="s">
        <v>25</v>
      </c>
      <c r="D40" s="53" t="s">
        <v>26</v>
      </c>
      <c r="E40" s="53">
        <v>3</v>
      </c>
      <c r="F40" s="52"/>
      <c r="G40" s="54" t="s">
        <v>28</v>
      </c>
      <c r="H40" s="55" t="s">
        <v>992</v>
      </c>
      <c r="I40" s="84">
        <v>791</v>
      </c>
      <c r="J40" s="55" t="s">
        <v>989</v>
      </c>
      <c r="K40" s="53" t="s">
        <v>151</v>
      </c>
      <c r="L40" s="53" t="s">
        <v>32</v>
      </c>
      <c r="M40" s="53" t="s">
        <v>34</v>
      </c>
      <c r="N40" s="53" t="s">
        <v>33</v>
      </c>
      <c r="O40" s="53" t="s">
        <v>799</v>
      </c>
      <c r="P40" s="53" t="s">
        <v>993</v>
      </c>
      <c r="Q40" s="53"/>
      <c r="R40" s="56" t="s">
        <v>38</v>
      </c>
      <c r="S40" s="53" t="s">
        <v>59</v>
      </c>
      <c r="T40" s="53" t="s">
        <v>994</v>
      </c>
      <c r="U40" s="53" t="s">
        <v>34</v>
      </c>
      <c r="V40" s="53" t="s">
        <v>34</v>
      </c>
      <c r="W40" s="53">
        <v>8</v>
      </c>
      <c r="X40" s="5"/>
    </row>
    <row r="41" spans="1:24" x14ac:dyDescent="0.25">
      <c r="A41" s="65" t="str">
        <f>IF(AND(SUMIF(B:B,B:B,I:I)-SUMIF(PCA!B:B,'Detalhamento fracionamento'!B:B,PCA!I:I)&lt;=0.001,SUMIF(B:B,B:B,I:I)-SUMIF(PCA!B:B,'Detalhamento fracionamento'!B:B,PCA!I:I)&gt;=-0.001),"","ERRO")</f>
        <v/>
      </c>
      <c r="B41" s="52">
        <v>37</v>
      </c>
      <c r="C41" s="52" t="s">
        <v>25</v>
      </c>
      <c r="D41" s="53" t="s">
        <v>26</v>
      </c>
      <c r="E41" s="53">
        <v>3</v>
      </c>
      <c r="F41" s="52"/>
      <c r="G41" s="54" t="s">
        <v>28</v>
      </c>
      <c r="H41" s="55" t="s">
        <v>995</v>
      </c>
      <c r="I41" s="84">
        <v>1000</v>
      </c>
      <c r="J41" s="55" t="s">
        <v>996</v>
      </c>
      <c r="K41" s="53" t="s">
        <v>151</v>
      </c>
      <c r="L41" s="53" t="s">
        <v>32</v>
      </c>
      <c r="M41" s="53" t="s">
        <v>34</v>
      </c>
      <c r="N41" s="53" t="s">
        <v>33</v>
      </c>
      <c r="O41" s="53" t="s">
        <v>799</v>
      </c>
      <c r="P41" s="53" t="s">
        <v>997</v>
      </c>
      <c r="Q41" s="53"/>
      <c r="R41" s="56" t="s">
        <v>38</v>
      </c>
      <c r="S41" s="53" t="s">
        <v>59</v>
      </c>
      <c r="T41" s="53" t="s">
        <v>998</v>
      </c>
      <c r="U41" s="53" t="s">
        <v>34</v>
      </c>
      <c r="V41" s="53" t="s">
        <v>34</v>
      </c>
      <c r="W41" s="53">
        <v>9</v>
      </c>
      <c r="X41" s="5"/>
    </row>
    <row r="42" spans="1:24" x14ac:dyDescent="0.25">
      <c r="A42" s="65" t="str">
        <f>IF(AND(SUMIF(B:B,B:B,I:I)-SUMIF(PCA!B:B,'Detalhamento fracionamento'!B:B,PCA!I:I)&lt;=0.001,SUMIF(B:B,B:B,I:I)-SUMIF(PCA!B:B,'Detalhamento fracionamento'!B:B,PCA!I:I)&gt;=-0.001),"","ERRO")</f>
        <v/>
      </c>
      <c r="B42" s="52">
        <v>37</v>
      </c>
      <c r="C42" s="52" t="s">
        <v>25</v>
      </c>
      <c r="D42" s="53" t="s">
        <v>26</v>
      </c>
      <c r="E42" s="53">
        <v>3</v>
      </c>
      <c r="F42" s="52" t="s">
        <v>999</v>
      </c>
      <c r="G42" s="54" t="s">
        <v>28</v>
      </c>
      <c r="H42" s="55" t="s">
        <v>1000</v>
      </c>
      <c r="I42" s="84">
        <v>3000</v>
      </c>
      <c r="J42" s="55" t="s">
        <v>996</v>
      </c>
      <c r="K42" s="53" t="s">
        <v>151</v>
      </c>
      <c r="L42" s="53" t="s">
        <v>32</v>
      </c>
      <c r="M42" s="53" t="s">
        <v>34</v>
      </c>
      <c r="N42" s="53" t="s">
        <v>33</v>
      </c>
      <c r="O42" s="53" t="s">
        <v>799</v>
      </c>
      <c r="P42" s="53" t="s">
        <v>1001</v>
      </c>
      <c r="Q42" s="53"/>
      <c r="R42" s="56" t="s">
        <v>38</v>
      </c>
      <c r="S42" s="53" t="s">
        <v>59</v>
      </c>
      <c r="T42" s="53" t="s">
        <v>1002</v>
      </c>
      <c r="U42" s="53" t="s">
        <v>34</v>
      </c>
      <c r="V42" s="53" t="s">
        <v>34</v>
      </c>
      <c r="W42" s="53">
        <v>10</v>
      </c>
      <c r="X42" s="5"/>
    </row>
    <row r="43" spans="1:24" x14ac:dyDescent="0.25">
      <c r="A43" s="65" t="str">
        <f>IF(AND(SUMIF(B:B,B:B,I:I)-SUMIF(PCA!B:B,'Detalhamento fracionamento'!B:B,PCA!I:I)&lt;=0.001,SUMIF(B:B,B:B,I:I)-SUMIF(PCA!B:B,'Detalhamento fracionamento'!B:B,PCA!I:I)&gt;=-0.001),"","ERRO")</f>
        <v/>
      </c>
      <c r="B43" s="52">
        <v>37</v>
      </c>
      <c r="C43" s="52" t="s">
        <v>25</v>
      </c>
      <c r="D43" s="53" t="s">
        <v>26</v>
      </c>
      <c r="E43" s="53">
        <v>3</v>
      </c>
      <c r="F43" s="52" t="s">
        <v>999</v>
      </c>
      <c r="G43" s="54" t="s">
        <v>28</v>
      </c>
      <c r="H43" s="55" t="s">
        <v>1003</v>
      </c>
      <c r="I43" s="84">
        <v>285</v>
      </c>
      <c r="J43" s="55" t="s">
        <v>1004</v>
      </c>
      <c r="K43" s="53" t="s">
        <v>151</v>
      </c>
      <c r="L43" s="53" t="s">
        <v>32</v>
      </c>
      <c r="M43" s="53" t="s">
        <v>34</v>
      </c>
      <c r="N43" s="53" t="s">
        <v>33</v>
      </c>
      <c r="O43" s="53" t="s">
        <v>799</v>
      </c>
      <c r="P43" s="53" t="s">
        <v>1005</v>
      </c>
      <c r="Q43" s="53"/>
      <c r="R43" s="56" t="s">
        <v>38</v>
      </c>
      <c r="S43" s="53" t="s">
        <v>59</v>
      </c>
      <c r="T43" s="53" t="s">
        <v>1006</v>
      </c>
      <c r="U43" s="53" t="s">
        <v>34</v>
      </c>
      <c r="V43" s="53" t="s">
        <v>34</v>
      </c>
      <c r="W43" s="53">
        <v>11</v>
      </c>
      <c r="X43" s="5"/>
    </row>
    <row r="44" spans="1:24" x14ac:dyDescent="0.25">
      <c r="A44" s="65" t="str">
        <f>IF(AND(SUMIF(B:B,B:B,I:I)-SUMIF(PCA!B:B,'Detalhamento fracionamento'!B:B,PCA!I:I)&lt;=0.001,SUMIF(B:B,B:B,I:I)-SUMIF(PCA!B:B,'Detalhamento fracionamento'!B:B,PCA!I:I)&gt;=-0.001),"","ERRO")</f>
        <v/>
      </c>
      <c r="B44" s="52">
        <v>37</v>
      </c>
      <c r="C44" s="52" t="s">
        <v>25</v>
      </c>
      <c r="D44" s="53" t="s">
        <v>26</v>
      </c>
      <c r="E44" s="53">
        <v>3</v>
      </c>
      <c r="F44" s="52" t="s">
        <v>191</v>
      </c>
      <c r="G44" s="54" t="s">
        <v>28</v>
      </c>
      <c r="H44" s="55" t="s">
        <v>1007</v>
      </c>
      <c r="I44" s="84">
        <v>1030.5</v>
      </c>
      <c r="J44" s="55" t="s">
        <v>1008</v>
      </c>
      <c r="K44" s="53" t="s">
        <v>151</v>
      </c>
      <c r="L44" s="53" t="s">
        <v>32</v>
      </c>
      <c r="M44" s="53" t="s">
        <v>34</v>
      </c>
      <c r="N44" s="53" t="s">
        <v>33</v>
      </c>
      <c r="O44" s="53" t="s">
        <v>799</v>
      </c>
      <c r="P44" s="53" t="s">
        <v>1009</v>
      </c>
      <c r="Q44" s="53"/>
      <c r="R44" s="56" t="s">
        <v>38</v>
      </c>
      <c r="S44" s="53" t="s">
        <v>59</v>
      </c>
      <c r="T44" s="53" t="s">
        <v>1010</v>
      </c>
      <c r="U44" s="53" t="s">
        <v>34</v>
      </c>
      <c r="V44" s="53" t="s">
        <v>34</v>
      </c>
      <c r="W44" s="53">
        <v>12</v>
      </c>
      <c r="X44" s="5"/>
    </row>
    <row r="45" spans="1:24" x14ac:dyDescent="0.25">
      <c r="A45" s="65" t="str">
        <f>IF(AND(SUMIF(B:B,B:B,I:I)-SUMIF(PCA!B:B,'Detalhamento fracionamento'!B:B,PCA!I:I)&lt;=0.001,SUMIF(B:B,B:B,I:I)-SUMIF(PCA!B:B,'Detalhamento fracionamento'!B:B,PCA!I:I)&gt;=-0.001),"","ERRO")</f>
        <v/>
      </c>
      <c r="B45" s="52">
        <v>37</v>
      </c>
      <c r="C45" s="52" t="s">
        <v>25</v>
      </c>
      <c r="D45" s="53" t="s">
        <v>26</v>
      </c>
      <c r="E45" s="53">
        <v>3</v>
      </c>
      <c r="F45" s="52"/>
      <c r="G45" s="54" t="s">
        <v>28</v>
      </c>
      <c r="H45" s="55" t="s">
        <v>1011</v>
      </c>
      <c r="I45" s="84">
        <v>41.7</v>
      </c>
      <c r="J45" s="55" t="s">
        <v>1008</v>
      </c>
      <c r="K45" s="53" t="s">
        <v>151</v>
      </c>
      <c r="L45" s="53" t="s">
        <v>32</v>
      </c>
      <c r="M45" s="53" t="s">
        <v>34</v>
      </c>
      <c r="N45" s="53" t="s">
        <v>33</v>
      </c>
      <c r="O45" s="53" t="s">
        <v>799</v>
      </c>
      <c r="P45" s="53" t="s">
        <v>1009</v>
      </c>
      <c r="Q45" s="53"/>
      <c r="R45" s="56" t="s">
        <v>38</v>
      </c>
      <c r="S45" s="53" t="s">
        <v>59</v>
      </c>
      <c r="T45" s="53" t="s">
        <v>1012</v>
      </c>
      <c r="U45" s="53" t="s">
        <v>34</v>
      </c>
      <c r="V45" s="53" t="s">
        <v>34</v>
      </c>
      <c r="W45" s="53">
        <v>13</v>
      </c>
      <c r="X45" s="5"/>
    </row>
    <row r="46" spans="1:24" x14ac:dyDescent="0.25">
      <c r="A46" s="65" t="str">
        <f>IF(AND(SUMIF(B:B,B:B,I:I)-SUMIF(PCA!B:B,'Detalhamento fracionamento'!B:B,PCA!I:I)&lt;=0.001,SUMIF(B:B,B:B,I:I)-SUMIF(PCA!B:B,'Detalhamento fracionamento'!B:B,PCA!I:I)&gt;=-0.001),"","ERRO")</f>
        <v/>
      </c>
      <c r="B46" s="52">
        <v>37</v>
      </c>
      <c r="C46" s="52" t="s">
        <v>25</v>
      </c>
      <c r="D46" s="53" t="s">
        <v>26</v>
      </c>
      <c r="E46" s="53">
        <v>3</v>
      </c>
      <c r="F46" s="52"/>
      <c r="G46" s="54" t="s">
        <v>28</v>
      </c>
      <c r="H46" s="55" t="s">
        <v>1013</v>
      </c>
      <c r="I46" s="84">
        <v>191.7</v>
      </c>
      <c r="J46" s="55" t="s">
        <v>1008</v>
      </c>
      <c r="K46" s="53" t="s">
        <v>151</v>
      </c>
      <c r="L46" s="53" t="s">
        <v>32</v>
      </c>
      <c r="M46" s="53" t="s">
        <v>34</v>
      </c>
      <c r="N46" s="53" t="s">
        <v>33</v>
      </c>
      <c r="O46" s="53" t="s">
        <v>799</v>
      </c>
      <c r="P46" s="53" t="s">
        <v>1009</v>
      </c>
      <c r="Q46" s="53"/>
      <c r="R46" s="56" t="s">
        <v>38</v>
      </c>
      <c r="S46" s="53" t="s">
        <v>59</v>
      </c>
      <c r="T46" s="53" t="s">
        <v>1012</v>
      </c>
      <c r="U46" s="53" t="s">
        <v>34</v>
      </c>
      <c r="V46" s="53" t="s">
        <v>34</v>
      </c>
      <c r="W46" s="53">
        <v>14</v>
      </c>
      <c r="X46" s="5"/>
    </row>
    <row r="47" spans="1:24" x14ac:dyDescent="0.25">
      <c r="A47" s="65" t="str">
        <f>IF(AND(SUMIF(B:B,B:B,I:I)-SUMIF(PCA!B:B,'Detalhamento fracionamento'!B:B,PCA!I:I)&lt;=0.001,SUMIF(B:B,B:B,I:I)-SUMIF(PCA!B:B,'Detalhamento fracionamento'!B:B,PCA!I:I)&gt;=-0.001),"","ERRO")</f>
        <v/>
      </c>
      <c r="B47" s="52">
        <v>37</v>
      </c>
      <c r="C47" s="52" t="s">
        <v>25</v>
      </c>
      <c r="D47" s="53" t="s">
        <v>26</v>
      </c>
      <c r="E47" s="53">
        <v>3</v>
      </c>
      <c r="F47" s="52"/>
      <c r="G47" s="54" t="s">
        <v>28</v>
      </c>
      <c r="H47" s="55" t="s">
        <v>1014</v>
      </c>
      <c r="I47" s="84">
        <v>144</v>
      </c>
      <c r="J47" s="55" t="s">
        <v>1008</v>
      </c>
      <c r="K47" s="53" t="s">
        <v>151</v>
      </c>
      <c r="L47" s="53" t="s">
        <v>32</v>
      </c>
      <c r="M47" s="53" t="s">
        <v>34</v>
      </c>
      <c r="N47" s="53" t="s">
        <v>33</v>
      </c>
      <c r="O47" s="53" t="s">
        <v>799</v>
      </c>
      <c r="P47" s="53" t="s">
        <v>1009</v>
      </c>
      <c r="Q47" s="53"/>
      <c r="R47" s="56" t="s">
        <v>38</v>
      </c>
      <c r="S47" s="53" t="s">
        <v>59</v>
      </c>
      <c r="T47" s="53" t="s">
        <v>1015</v>
      </c>
      <c r="U47" s="53" t="s">
        <v>34</v>
      </c>
      <c r="V47" s="53" t="s">
        <v>34</v>
      </c>
      <c r="W47" s="53">
        <v>15</v>
      </c>
      <c r="X47" s="5"/>
    </row>
    <row r="48" spans="1:24" x14ac:dyDescent="0.25">
      <c r="A48" s="65" t="str">
        <f>IF(AND(SUMIF(B:B,B:B,I:I)-SUMIF(PCA!B:B,'Detalhamento fracionamento'!B:B,PCA!I:I)&lt;=0.001,SUMIF(B:B,B:B,I:I)-SUMIF(PCA!B:B,'Detalhamento fracionamento'!B:B,PCA!I:I)&gt;=-0.001),"","ERRO")</f>
        <v/>
      </c>
      <c r="B48" s="52">
        <v>37</v>
      </c>
      <c r="C48" s="52" t="s">
        <v>25</v>
      </c>
      <c r="D48" s="53" t="s">
        <v>26</v>
      </c>
      <c r="E48" s="53">
        <v>3</v>
      </c>
      <c r="F48" s="52"/>
      <c r="G48" s="54" t="s">
        <v>28</v>
      </c>
      <c r="H48" s="55" t="s">
        <v>1016</v>
      </c>
      <c r="I48" s="84">
        <v>145</v>
      </c>
      <c r="J48" s="55" t="s">
        <v>1008</v>
      </c>
      <c r="K48" s="53" t="s">
        <v>151</v>
      </c>
      <c r="L48" s="53" t="s">
        <v>32</v>
      </c>
      <c r="M48" s="53" t="s">
        <v>34</v>
      </c>
      <c r="N48" s="53" t="s">
        <v>33</v>
      </c>
      <c r="O48" s="53" t="s">
        <v>799</v>
      </c>
      <c r="P48" s="53" t="s">
        <v>1009</v>
      </c>
      <c r="Q48" s="53"/>
      <c r="R48" s="56" t="s">
        <v>38</v>
      </c>
      <c r="S48" s="53" t="s">
        <v>59</v>
      </c>
      <c r="T48" s="53" t="s">
        <v>1017</v>
      </c>
      <c r="U48" s="53" t="s">
        <v>34</v>
      </c>
      <c r="V48" s="53" t="s">
        <v>34</v>
      </c>
      <c r="W48" s="53">
        <v>16</v>
      </c>
      <c r="X48" s="5"/>
    </row>
    <row r="49" spans="1:24" x14ac:dyDescent="0.25">
      <c r="A49" s="65" t="str">
        <f>IF(AND(SUMIF(B:B,B:B,I:I)-SUMIF(PCA!B:B,'Detalhamento fracionamento'!B:B,PCA!I:I)&lt;=0.001,SUMIF(B:B,B:B,I:I)-SUMIF(PCA!B:B,'Detalhamento fracionamento'!B:B,PCA!I:I)&gt;=-0.001),"","ERRO")</f>
        <v/>
      </c>
      <c r="B49" s="52">
        <v>37</v>
      </c>
      <c r="C49" s="52" t="s">
        <v>25</v>
      </c>
      <c r="D49" s="53" t="s">
        <v>26</v>
      </c>
      <c r="E49" s="53">
        <v>3</v>
      </c>
      <c r="F49" s="52"/>
      <c r="G49" s="54" t="s">
        <v>28</v>
      </c>
      <c r="H49" s="55" t="s">
        <v>1018</v>
      </c>
      <c r="I49" s="84">
        <v>86.94</v>
      </c>
      <c r="J49" s="55" t="s">
        <v>1008</v>
      </c>
      <c r="K49" s="53" t="s">
        <v>151</v>
      </c>
      <c r="L49" s="53" t="s">
        <v>32</v>
      </c>
      <c r="M49" s="53" t="s">
        <v>34</v>
      </c>
      <c r="N49" s="53" t="s">
        <v>33</v>
      </c>
      <c r="O49" s="53" t="s">
        <v>799</v>
      </c>
      <c r="P49" s="53" t="s">
        <v>1009</v>
      </c>
      <c r="Q49" s="53"/>
      <c r="R49" s="56" t="s">
        <v>38</v>
      </c>
      <c r="S49" s="53" t="s">
        <v>59</v>
      </c>
      <c r="T49" s="53" t="s">
        <v>1019</v>
      </c>
      <c r="U49" s="53" t="s">
        <v>34</v>
      </c>
      <c r="V49" s="53" t="s">
        <v>34</v>
      </c>
      <c r="W49" s="53">
        <v>17</v>
      </c>
      <c r="X49" s="5"/>
    </row>
    <row r="50" spans="1:24" x14ac:dyDescent="0.25">
      <c r="A50" s="65" t="str">
        <f>IF(AND(SUMIF(B:B,B:B,I:I)-SUMIF(PCA!B:B,'Detalhamento fracionamento'!B:B,PCA!I:I)&lt;=0.001,SUMIF(B:B,B:B,I:I)-SUMIF(PCA!B:B,'Detalhamento fracionamento'!B:B,PCA!I:I)&gt;=-0.001),"","ERRO")</f>
        <v/>
      </c>
      <c r="B50" s="52">
        <v>37</v>
      </c>
      <c r="C50" s="52" t="s">
        <v>25</v>
      </c>
      <c r="D50" s="53" t="s">
        <v>26</v>
      </c>
      <c r="E50" s="53">
        <v>3</v>
      </c>
      <c r="F50" s="52"/>
      <c r="G50" s="54" t="s">
        <v>28</v>
      </c>
      <c r="H50" s="55" t="s">
        <v>1020</v>
      </c>
      <c r="I50" s="84">
        <v>586.80999999999995</v>
      </c>
      <c r="J50" s="55" t="s">
        <v>1008</v>
      </c>
      <c r="K50" s="53" t="s">
        <v>151</v>
      </c>
      <c r="L50" s="53" t="s">
        <v>32</v>
      </c>
      <c r="M50" s="53" t="s">
        <v>34</v>
      </c>
      <c r="N50" s="53" t="s">
        <v>33</v>
      </c>
      <c r="O50" s="53" t="s">
        <v>799</v>
      </c>
      <c r="P50" s="53" t="s">
        <v>1009</v>
      </c>
      <c r="Q50" s="53"/>
      <c r="R50" s="56" t="s">
        <v>38</v>
      </c>
      <c r="S50" s="53" t="s">
        <v>59</v>
      </c>
      <c r="T50" s="53" t="s">
        <v>1021</v>
      </c>
      <c r="U50" s="53" t="s">
        <v>34</v>
      </c>
      <c r="V50" s="53" t="s">
        <v>34</v>
      </c>
      <c r="W50" s="53">
        <v>18</v>
      </c>
      <c r="X50" s="5"/>
    </row>
    <row r="51" spans="1:24" x14ac:dyDescent="0.25">
      <c r="A51" s="65" t="str">
        <f>IF(AND(SUMIF(B:B,B:B,I:I)-SUMIF(PCA!B:B,'Detalhamento fracionamento'!B:B,PCA!I:I)&lt;=0.001,SUMIF(B:B,B:B,I:I)-SUMIF(PCA!B:B,'Detalhamento fracionamento'!B:B,PCA!I:I)&gt;=-0.001),"","ERRO")</f>
        <v/>
      </c>
      <c r="B51" s="52">
        <v>37</v>
      </c>
      <c r="C51" s="52" t="s">
        <v>25</v>
      </c>
      <c r="D51" s="53" t="s">
        <v>26</v>
      </c>
      <c r="E51" s="53">
        <v>3</v>
      </c>
      <c r="F51" s="52"/>
      <c r="G51" s="54" t="s">
        <v>28</v>
      </c>
      <c r="H51" s="55" t="s">
        <v>1022</v>
      </c>
      <c r="I51" s="84">
        <v>119.36</v>
      </c>
      <c r="J51" s="55" t="s">
        <v>1008</v>
      </c>
      <c r="K51" s="53" t="s">
        <v>151</v>
      </c>
      <c r="L51" s="53" t="s">
        <v>32</v>
      </c>
      <c r="M51" s="53" t="s">
        <v>34</v>
      </c>
      <c r="N51" s="53" t="s">
        <v>33</v>
      </c>
      <c r="O51" s="53" t="s">
        <v>799</v>
      </c>
      <c r="P51" s="53" t="s">
        <v>1009</v>
      </c>
      <c r="Q51" s="53"/>
      <c r="R51" s="56" t="s">
        <v>38</v>
      </c>
      <c r="S51" s="53" t="s">
        <v>59</v>
      </c>
      <c r="T51" s="53" t="s">
        <v>1023</v>
      </c>
      <c r="U51" s="53" t="s">
        <v>34</v>
      </c>
      <c r="V51" s="53" t="s">
        <v>34</v>
      </c>
      <c r="W51" s="53">
        <v>19</v>
      </c>
      <c r="X51" s="5"/>
    </row>
    <row r="52" spans="1:24" x14ac:dyDescent="0.25">
      <c r="A52" s="65" t="str">
        <f>IF(AND(SUMIF(B:B,B:B,I:I)-SUMIF(PCA!B:B,'Detalhamento fracionamento'!B:B,PCA!I:I)&lt;=0.001,SUMIF(B:B,B:B,I:I)-SUMIF(PCA!B:B,'Detalhamento fracionamento'!B:B,PCA!I:I)&gt;=-0.001),"","ERRO")</f>
        <v/>
      </c>
      <c r="B52" s="52">
        <v>37</v>
      </c>
      <c r="C52" s="52" t="s">
        <v>25</v>
      </c>
      <c r="D52" s="53" t="s">
        <v>26</v>
      </c>
      <c r="E52" s="53">
        <v>3</v>
      </c>
      <c r="F52" s="52"/>
      <c r="G52" s="54" t="s">
        <v>28</v>
      </c>
      <c r="H52" s="55" t="s">
        <v>1024</v>
      </c>
      <c r="I52" s="84">
        <v>34.08</v>
      </c>
      <c r="J52" s="55" t="s">
        <v>1008</v>
      </c>
      <c r="K52" s="53" t="s">
        <v>151</v>
      </c>
      <c r="L52" s="53" t="s">
        <v>32</v>
      </c>
      <c r="M52" s="53" t="s">
        <v>34</v>
      </c>
      <c r="N52" s="53" t="s">
        <v>33</v>
      </c>
      <c r="O52" s="53" t="s">
        <v>799</v>
      </c>
      <c r="P52" s="53" t="s">
        <v>1009</v>
      </c>
      <c r="Q52" s="53"/>
      <c r="R52" s="56" t="s">
        <v>38</v>
      </c>
      <c r="S52" s="53" t="s">
        <v>59</v>
      </c>
      <c r="T52" s="53" t="s">
        <v>1025</v>
      </c>
      <c r="U52" s="53" t="s">
        <v>34</v>
      </c>
      <c r="V52" s="53" t="s">
        <v>34</v>
      </c>
      <c r="W52" s="53">
        <v>20</v>
      </c>
      <c r="X52" s="5"/>
    </row>
    <row r="53" spans="1:24" x14ac:dyDescent="0.25">
      <c r="A53" s="65" t="str">
        <f>IF(AND(SUMIF(B:B,B:B,I:I)-SUMIF(PCA!B:B,'Detalhamento fracionamento'!B:B,PCA!I:I)&lt;=0.001,SUMIF(B:B,B:B,I:I)-SUMIF(PCA!B:B,'Detalhamento fracionamento'!B:B,PCA!I:I)&gt;=-0.001),"","ERRO")</f>
        <v/>
      </c>
      <c r="B53" s="52">
        <v>37</v>
      </c>
      <c r="C53" s="52" t="s">
        <v>25</v>
      </c>
      <c r="D53" s="53" t="s">
        <v>26</v>
      </c>
      <c r="E53" s="53">
        <v>3</v>
      </c>
      <c r="F53" s="52"/>
      <c r="G53" s="54" t="s">
        <v>28</v>
      </c>
      <c r="H53" s="55" t="s">
        <v>1026</v>
      </c>
      <c r="I53" s="84">
        <v>400</v>
      </c>
      <c r="J53" s="55" t="s">
        <v>1027</v>
      </c>
      <c r="K53" s="53" t="s">
        <v>151</v>
      </c>
      <c r="L53" s="53" t="s">
        <v>32</v>
      </c>
      <c r="M53" s="53" t="s">
        <v>34</v>
      </c>
      <c r="N53" s="53" t="s">
        <v>33</v>
      </c>
      <c r="O53" s="53" t="s">
        <v>799</v>
      </c>
      <c r="P53" s="53" t="s">
        <v>1028</v>
      </c>
      <c r="Q53" s="53"/>
      <c r="R53" s="56" t="s">
        <v>38</v>
      </c>
      <c r="S53" s="53" t="s">
        <v>59</v>
      </c>
      <c r="T53" s="53" t="s">
        <v>1029</v>
      </c>
      <c r="U53" s="53" t="s">
        <v>34</v>
      </c>
      <c r="V53" s="53" t="s">
        <v>34</v>
      </c>
      <c r="W53" s="53">
        <v>21</v>
      </c>
      <c r="X53" s="5"/>
    </row>
    <row r="54" spans="1:24" x14ac:dyDescent="0.25">
      <c r="A54" s="65" t="str">
        <f>IF(AND(SUMIF(B:B,B:B,I:I)-SUMIF(PCA!B:B,'Detalhamento fracionamento'!B:B,PCA!I:I)&lt;=0.001,SUMIF(B:B,B:B,I:I)-SUMIF(PCA!B:B,'Detalhamento fracionamento'!B:B,PCA!I:I)&gt;=-0.001),"","ERRO")</f>
        <v/>
      </c>
      <c r="B54" s="52">
        <v>37</v>
      </c>
      <c r="C54" s="52" t="s">
        <v>25</v>
      </c>
      <c r="D54" s="53" t="s">
        <v>26</v>
      </c>
      <c r="E54" s="53">
        <v>3</v>
      </c>
      <c r="F54" s="52"/>
      <c r="G54" s="54" t="s">
        <v>28</v>
      </c>
      <c r="H54" s="55" t="s">
        <v>1030</v>
      </c>
      <c r="I54" s="84">
        <f>56.9*3</f>
        <v>170.7</v>
      </c>
      <c r="J54" s="55"/>
      <c r="K54" s="53" t="s">
        <v>151</v>
      </c>
      <c r="L54" s="53" t="s">
        <v>32</v>
      </c>
      <c r="M54" s="53" t="s">
        <v>34</v>
      </c>
      <c r="N54" s="53" t="s">
        <v>33</v>
      </c>
      <c r="O54" s="53" t="s">
        <v>799</v>
      </c>
      <c r="P54" s="53" t="s">
        <v>1031</v>
      </c>
      <c r="Q54" s="53"/>
      <c r="R54" s="56" t="s">
        <v>38</v>
      </c>
      <c r="S54" s="53" t="s">
        <v>59</v>
      </c>
      <c r="T54" s="53" t="s">
        <v>1032</v>
      </c>
      <c r="U54" s="53" t="s">
        <v>34</v>
      </c>
      <c r="V54" s="53" t="s">
        <v>34</v>
      </c>
      <c r="W54" s="53">
        <v>22</v>
      </c>
      <c r="X54" s="5"/>
    </row>
    <row r="55" spans="1:24" x14ac:dyDescent="0.25">
      <c r="A55" s="65" t="str">
        <f>IF(AND(SUMIF(B:B,B:B,I:I)-SUMIF(PCA!B:B,'Detalhamento fracionamento'!B:B,PCA!I:I)&lt;=0.001,SUMIF(B:B,B:B,I:I)-SUMIF(PCA!B:B,'Detalhamento fracionamento'!B:B,PCA!I:I)&gt;=-0.001),"","ERRO")</f>
        <v/>
      </c>
      <c r="B55" s="52">
        <v>37</v>
      </c>
      <c r="C55" s="52" t="s">
        <v>25</v>
      </c>
      <c r="D55" s="53" t="s">
        <v>26</v>
      </c>
      <c r="E55" s="53">
        <v>3</v>
      </c>
      <c r="F55" s="52"/>
      <c r="G55" s="54" t="s">
        <v>28</v>
      </c>
      <c r="H55" s="55" t="s">
        <v>1067</v>
      </c>
      <c r="I55" s="84">
        <v>350</v>
      </c>
      <c r="J55" s="55" t="s">
        <v>1068</v>
      </c>
      <c r="K55" s="53" t="s">
        <v>151</v>
      </c>
      <c r="L55" s="53" t="s">
        <v>32</v>
      </c>
      <c r="M55" s="53" t="s">
        <v>34</v>
      </c>
      <c r="N55" s="53" t="s">
        <v>33</v>
      </c>
      <c r="O55" s="53" t="s">
        <v>799</v>
      </c>
      <c r="P55" s="53" t="s">
        <v>1066</v>
      </c>
      <c r="Q55" s="53"/>
      <c r="R55" s="56" t="s">
        <v>38</v>
      </c>
      <c r="S55" s="53" t="s">
        <v>59</v>
      </c>
      <c r="T55" s="53" t="s">
        <v>1065</v>
      </c>
      <c r="U55" s="53" t="s">
        <v>34</v>
      </c>
      <c r="V55" s="53" t="s">
        <v>34</v>
      </c>
      <c r="W55" s="53">
        <v>23</v>
      </c>
      <c r="X55" s="5"/>
    </row>
    <row r="56" spans="1:24" x14ac:dyDescent="0.25">
      <c r="A56" s="65"/>
      <c r="B56" s="65"/>
      <c r="C56" s="65"/>
      <c r="D56" s="65"/>
      <c r="E56" s="65"/>
      <c r="F56" s="65"/>
      <c r="G56" s="65"/>
      <c r="H56" s="65"/>
      <c r="I56" s="65"/>
      <c r="J56" s="65"/>
      <c r="K56" s="65"/>
      <c r="L56" s="65"/>
      <c r="M56" s="65"/>
      <c r="N56" s="65"/>
      <c r="O56" s="65"/>
      <c r="P56" s="65"/>
      <c r="Q56" s="65"/>
      <c r="R56" s="65"/>
      <c r="S56" s="65"/>
      <c r="T56" s="65"/>
      <c r="U56" s="65"/>
      <c r="V56" s="65"/>
      <c r="W56" s="65"/>
      <c r="X56" s="1"/>
    </row>
    <row r="57" spans="1:24" x14ac:dyDescent="0.25">
      <c r="A57" s="65"/>
      <c r="B57" s="65"/>
      <c r="C57" s="65"/>
      <c r="D57" s="65"/>
      <c r="E57" s="65"/>
      <c r="F57" s="65"/>
      <c r="G57" s="65"/>
      <c r="H57" s="65"/>
      <c r="I57" s="65"/>
      <c r="J57" s="65"/>
      <c r="K57" s="65"/>
      <c r="L57" s="65"/>
      <c r="M57" s="65"/>
      <c r="N57" s="65"/>
      <c r="O57" s="65"/>
      <c r="P57" s="65"/>
      <c r="Q57" s="65"/>
      <c r="R57" s="65"/>
      <c r="S57" s="65"/>
      <c r="T57" s="65"/>
      <c r="U57" s="65"/>
      <c r="V57" s="65"/>
      <c r="W57" s="65"/>
      <c r="X57" s="1"/>
    </row>
    <row r="58" spans="1:24" x14ac:dyDescent="0.25">
      <c r="A58" s="65"/>
      <c r="B58" s="65"/>
      <c r="C58" s="65"/>
      <c r="D58" s="65"/>
      <c r="E58" s="65"/>
      <c r="F58" s="65"/>
      <c r="G58" s="65"/>
      <c r="H58" s="65"/>
      <c r="I58" s="65"/>
      <c r="J58" s="65"/>
      <c r="K58" s="65"/>
      <c r="L58" s="65"/>
      <c r="M58" s="65"/>
      <c r="N58" s="65"/>
      <c r="O58" s="65"/>
      <c r="P58" s="65"/>
      <c r="Q58" s="65"/>
      <c r="R58" s="65"/>
      <c r="S58" s="65"/>
      <c r="T58" s="65"/>
      <c r="U58" s="65"/>
      <c r="V58" s="65"/>
      <c r="W58" s="65"/>
      <c r="X58" s="1"/>
    </row>
    <row r="59" spans="1:24" x14ac:dyDescent="0.25">
      <c r="A59" s="65"/>
      <c r="B59" s="65"/>
      <c r="C59" s="65"/>
      <c r="D59" s="65"/>
      <c r="E59" s="65"/>
      <c r="F59" s="65"/>
      <c r="G59" s="65"/>
      <c r="H59" s="65"/>
      <c r="I59" s="65"/>
      <c r="J59" s="65"/>
      <c r="K59" s="65"/>
      <c r="L59" s="65"/>
      <c r="M59" s="65"/>
      <c r="N59" s="65"/>
      <c r="O59" s="65"/>
      <c r="P59" s="65"/>
      <c r="Q59" s="65"/>
      <c r="R59" s="65"/>
      <c r="S59" s="65"/>
      <c r="T59" s="65"/>
      <c r="U59" s="65"/>
      <c r="V59" s="65"/>
      <c r="W59" s="65"/>
      <c r="X59" s="1"/>
    </row>
    <row r="60" spans="1:24" x14ac:dyDescent="0.25">
      <c r="A60" s="65"/>
      <c r="B60" s="65"/>
      <c r="C60" s="65"/>
      <c r="D60" s="65"/>
      <c r="E60" s="65"/>
      <c r="F60" s="65"/>
      <c r="G60" s="65"/>
      <c r="H60" s="65"/>
      <c r="I60" s="65"/>
      <c r="J60" s="65"/>
      <c r="K60" s="65"/>
      <c r="L60" s="65"/>
      <c r="M60" s="65"/>
      <c r="N60" s="65"/>
      <c r="O60" s="65"/>
      <c r="P60" s="65"/>
      <c r="Q60" s="65"/>
      <c r="R60" s="65"/>
      <c r="S60" s="65"/>
      <c r="T60" s="65"/>
      <c r="U60" s="65"/>
      <c r="V60" s="65"/>
      <c r="W60" s="65"/>
      <c r="X60" s="1"/>
    </row>
    <row r="61" spans="1:24" x14ac:dyDescent="0.25">
      <c r="A61" s="65"/>
      <c r="B61" s="65"/>
      <c r="C61" s="65"/>
      <c r="D61" s="65"/>
      <c r="E61" s="65"/>
      <c r="F61" s="65"/>
      <c r="G61" s="65"/>
      <c r="H61" s="65"/>
      <c r="I61" s="65"/>
      <c r="J61" s="65"/>
      <c r="K61" s="65"/>
      <c r="L61" s="65"/>
      <c r="M61" s="65"/>
      <c r="N61" s="65"/>
      <c r="O61" s="65"/>
      <c r="P61" s="65"/>
      <c r="Q61" s="65"/>
      <c r="R61" s="65"/>
      <c r="S61" s="65"/>
      <c r="T61" s="65"/>
      <c r="U61" s="65"/>
      <c r="V61" s="65"/>
      <c r="W61" s="65"/>
      <c r="X61" s="1"/>
    </row>
    <row r="62" spans="1:24" x14ac:dyDescent="0.25">
      <c r="A62" s="65"/>
      <c r="B62" s="65"/>
      <c r="C62" s="65"/>
      <c r="D62" s="65"/>
      <c r="E62" s="65"/>
      <c r="F62" s="65"/>
      <c r="G62" s="65"/>
      <c r="H62" s="65"/>
      <c r="I62" s="65"/>
      <c r="J62" s="65"/>
      <c r="K62" s="65"/>
      <c r="L62" s="65"/>
      <c r="M62" s="65"/>
      <c r="N62" s="65"/>
      <c r="O62" s="65"/>
      <c r="P62" s="65"/>
      <c r="Q62" s="65"/>
      <c r="R62" s="65"/>
      <c r="S62" s="65"/>
      <c r="T62" s="65"/>
      <c r="U62" s="65"/>
      <c r="V62" s="65"/>
      <c r="W62" s="65"/>
      <c r="X62" s="1"/>
    </row>
    <row r="63" spans="1:24" x14ac:dyDescent="0.25">
      <c r="A63" s="65"/>
      <c r="B63" s="65"/>
      <c r="C63" s="65"/>
      <c r="D63" s="65"/>
      <c r="E63" s="65"/>
      <c r="F63" s="65"/>
      <c r="G63" s="65"/>
      <c r="H63" s="65"/>
      <c r="I63" s="65"/>
      <c r="J63" s="65"/>
      <c r="K63" s="65"/>
      <c r="L63" s="65"/>
      <c r="M63" s="65"/>
      <c r="N63" s="65"/>
      <c r="O63" s="65"/>
      <c r="P63" s="65"/>
      <c r="Q63" s="65"/>
      <c r="R63" s="65"/>
      <c r="S63" s="65"/>
      <c r="T63" s="65"/>
      <c r="U63" s="65"/>
      <c r="V63" s="65"/>
      <c r="W63" s="65"/>
      <c r="X63" s="1"/>
    </row>
    <row r="64" spans="1:24" x14ac:dyDescent="0.25">
      <c r="A64" s="65"/>
      <c r="B64" s="65"/>
      <c r="C64" s="65"/>
      <c r="D64" s="65"/>
      <c r="E64" s="65"/>
      <c r="F64" s="65"/>
      <c r="G64" s="65"/>
      <c r="H64" s="65"/>
      <c r="I64" s="65"/>
      <c r="J64" s="65"/>
      <c r="K64" s="65"/>
      <c r="L64" s="65"/>
      <c r="M64" s="65"/>
      <c r="N64" s="65"/>
      <c r="O64" s="65"/>
      <c r="P64" s="65"/>
      <c r="Q64" s="65"/>
      <c r="R64" s="65"/>
      <c r="S64" s="65"/>
      <c r="T64" s="65"/>
      <c r="U64" s="65"/>
      <c r="V64" s="65"/>
      <c r="W64" s="65"/>
      <c r="X64" s="1"/>
    </row>
    <row r="65" spans="1:24" x14ac:dyDescent="0.25">
      <c r="A65" s="65"/>
      <c r="B65" s="65"/>
      <c r="C65" s="65"/>
      <c r="D65" s="65"/>
      <c r="E65" s="65"/>
      <c r="F65" s="65"/>
      <c r="G65" s="65"/>
      <c r="H65" s="65"/>
      <c r="I65" s="65"/>
      <c r="J65" s="65"/>
      <c r="K65" s="65"/>
      <c r="L65" s="65"/>
      <c r="M65" s="65"/>
      <c r="N65" s="65"/>
      <c r="O65" s="65"/>
      <c r="P65" s="65"/>
      <c r="Q65" s="65"/>
      <c r="R65" s="65"/>
      <c r="S65" s="65"/>
      <c r="T65" s="65"/>
      <c r="U65" s="65"/>
      <c r="V65" s="65"/>
      <c r="W65" s="65"/>
      <c r="X65" s="1"/>
    </row>
    <row r="66" spans="1:24" x14ac:dyDescent="0.25">
      <c r="A66" s="65"/>
      <c r="B66" s="65"/>
      <c r="C66" s="65"/>
      <c r="D66" s="65"/>
      <c r="E66" s="65"/>
      <c r="F66" s="65"/>
      <c r="G66" s="65"/>
      <c r="H66" s="65"/>
      <c r="I66" s="65"/>
      <c r="J66" s="65"/>
      <c r="K66" s="65"/>
      <c r="L66" s="65"/>
      <c r="M66" s="65"/>
      <c r="N66" s="65"/>
      <c r="O66" s="65"/>
      <c r="P66" s="65"/>
      <c r="Q66" s="65"/>
      <c r="R66" s="65"/>
      <c r="S66" s="65"/>
      <c r="T66" s="65"/>
      <c r="U66" s="65"/>
      <c r="V66" s="65"/>
      <c r="W66" s="65"/>
      <c r="X66" s="1"/>
    </row>
    <row r="67" spans="1:24" x14ac:dyDescent="0.25">
      <c r="A67" s="65"/>
      <c r="B67" s="65"/>
      <c r="C67" s="65"/>
      <c r="D67" s="65"/>
      <c r="E67" s="65"/>
      <c r="F67" s="65"/>
      <c r="G67" s="65"/>
      <c r="H67" s="65"/>
      <c r="I67" s="65"/>
      <c r="J67" s="65"/>
      <c r="K67" s="65"/>
      <c r="L67" s="65"/>
      <c r="M67" s="65"/>
      <c r="N67" s="65"/>
      <c r="O67" s="65"/>
      <c r="P67" s="65"/>
      <c r="Q67" s="65"/>
      <c r="R67" s="65"/>
      <c r="S67" s="65"/>
      <c r="T67" s="65"/>
      <c r="U67" s="65"/>
      <c r="V67" s="65"/>
      <c r="W67" s="65"/>
      <c r="X67" s="1"/>
    </row>
    <row r="68" spans="1:24" x14ac:dyDescent="0.25">
      <c r="A68" s="65"/>
      <c r="B68" s="65"/>
      <c r="C68" s="65"/>
      <c r="D68" s="65"/>
      <c r="E68" s="65"/>
      <c r="F68" s="65"/>
      <c r="G68" s="65"/>
      <c r="H68" s="65"/>
      <c r="I68" s="65"/>
      <c r="J68" s="65"/>
      <c r="K68" s="65"/>
      <c r="L68" s="65"/>
      <c r="M68" s="65"/>
      <c r="N68" s="65"/>
      <c r="O68" s="65"/>
      <c r="P68" s="65"/>
      <c r="Q68" s="65"/>
      <c r="R68" s="65"/>
      <c r="S68" s="65"/>
      <c r="T68" s="65"/>
      <c r="U68" s="65"/>
      <c r="V68" s="65"/>
      <c r="W68" s="65"/>
      <c r="X68" s="1"/>
    </row>
    <row r="69" spans="1:24" x14ac:dyDescent="0.25">
      <c r="A69" s="65"/>
      <c r="B69" s="65"/>
      <c r="C69" s="65"/>
      <c r="D69" s="65"/>
      <c r="E69" s="65"/>
      <c r="F69" s="65"/>
      <c r="G69" s="65"/>
      <c r="H69" s="65"/>
      <c r="I69" s="65"/>
      <c r="J69" s="65"/>
      <c r="K69" s="65"/>
      <c r="L69" s="65"/>
      <c r="M69" s="65"/>
      <c r="N69" s="65"/>
      <c r="O69" s="65"/>
      <c r="P69" s="65"/>
      <c r="Q69" s="65"/>
      <c r="R69" s="65"/>
      <c r="S69" s="65"/>
      <c r="T69" s="65"/>
      <c r="U69" s="65"/>
      <c r="V69" s="65"/>
      <c r="W69" s="65"/>
      <c r="X69" s="1"/>
    </row>
    <row r="70" spans="1:24" x14ac:dyDescent="0.25">
      <c r="A70" s="65"/>
      <c r="B70" s="65"/>
      <c r="C70" s="65"/>
      <c r="D70" s="65"/>
      <c r="E70" s="65"/>
      <c r="F70" s="65"/>
      <c r="G70" s="65"/>
      <c r="H70" s="65"/>
      <c r="I70" s="65"/>
      <c r="J70" s="65"/>
      <c r="K70" s="65"/>
      <c r="L70" s="65"/>
      <c r="M70" s="65"/>
      <c r="N70" s="65"/>
      <c r="O70" s="65"/>
      <c r="P70" s="65"/>
      <c r="Q70" s="65"/>
      <c r="R70" s="65"/>
      <c r="S70" s="65"/>
      <c r="T70" s="65"/>
      <c r="U70" s="65"/>
      <c r="V70" s="65"/>
      <c r="W70" s="65"/>
      <c r="X70" s="1"/>
    </row>
    <row r="71" spans="1:24" x14ac:dyDescent="0.25">
      <c r="A71" s="65"/>
      <c r="B71" s="65"/>
      <c r="C71" s="65"/>
      <c r="D71" s="65"/>
      <c r="E71" s="65"/>
      <c r="F71" s="65"/>
      <c r="G71" s="65"/>
      <c r="H71" s="65"/>
      <c r="I71" s="65"/>
      <c r="J71" s="65"/>
      <c r="K71" s="65"/>
      <c r="L71" s="65"/>
      <c r="M71" s="65"/>
      <c r="N71" s="65"/>
      <c r="O71" s="65"/>
      <c r="P71" s="65"/>
      <c r="Q71" s="65"/>
      <c r="R71" s="65"/>
      <c r="S71" s="65"/>
      <c r="T71" s="65"/>
      <c r="U71" s="65"/>
      <c r="V71" s="65"/>
      <c r="W71" s="65"/>
      <c r="X71" s="1"/>
    </row>
    <row r="72" spans="1:24" x14ac:dyDescent="0.25">
      <c r="A72" s="65"/>
      <c r="B72" s="65"/>
      <c r="C72" s="65"/>
      <c r="D72" s="65"/>
      <c r="E72" s="65"/>
      <c r="F72" s="65"/>
      <c r="G72" s="65"/>
      <c r="H72" s="65"/>
      <c r="I72" s="65"/>
      <c r="J72" s="65"/>
      <c r="K72" s="65"/>
      <c r="L72" s="65"/>
      <c r="M72" s="65"/>
      <c r="N72" s="65"/>
      <c r="O72" s="65"/>
      <c r="P72" s="65"/>
      <c r="Q72" s="65"/>
      <c r="R72" s="65"/>
      <c r="S72" s="65"/>
      <c r="T72" s="65"/>
      <c r="U72" s="65"/>
      <c r="V72" s="65"/>
      <c r="W72" s="65"/>
      <c r="X72" s="1"/>
    </row>
    <row r="73" spans="1:24" x14ac:dyDescent="0.25">
      <c r="A73" s="65"/>
      <c r="B73" s="65"/>
      <c r="C73" s="65"/>
      <c r="D73" s="65"/>
      <c r="E73" s="65"/>
      <c r="F73" s="65"/>
      <c r="G73" s="65"/>
      <c r="H73" s="65"/>
      <c r="I73" s="65"/>
      <c r="J73" s="65"/>
      <c r="K73" s="65"/>
      <c r="L73" s="65"/>
      <c r="M73" s="65"/>
      <c r="N73" s="65"/>
      <c r="O73" s="65"/>
      <c r="P73" s="65"/>
      <c r="Q73" s="65"/>
      <c r="R73" s="65"/>
      <c r="S73" s="65"/>
      <c r="T73" s="65"/>
      <c r="U73" s="65"/>
      <c r="V73" s="65"/>
      <c r="W73" s="65"/>
      <c r="X73" s="1"/>
    </row>
    <row r="74" spans="1:24" x14ac:dyDescent="0.25">
      <c r="A74" s="65"/>
      <c r="B74" s="65"/>
      <c r="C74" s="65"/>
      <c r="D74" s="65"/>
      <c r="E74" s="65"/>
      <c r="F74" s="65"/>
      <c r="G74" s="65"/>
      <c r="H74" s="65"/>
      <c r="I74" s="65"/>
      <c r="J74" s="65"/>
      <c r="K74" s="65"/>
      <c r="L74" s="65"/>
      <c r="M74" s="65"/>
      <c r="N74" s="65"/>
      <c r="O74" s="65"/>
      <c r="P74" s="65"/>
      <c r="Q74" s="65"/>
      <c r="R74" s="65"/>
      <c r="S74" s="65"/>
      <c r="T74" s="65"/>
      <c r="U74" s="65"/>
      <c r="V74" s="65"/>
      <c r="W74" s="65"/>
      <c r="X74" s="1"/>
    </row>
    <row r="75" spans="1:24" x14ac:dyDescent="0.25">
      <c r="A75" s="65"/>
      <c r="B75" s="65"/>
      <c r="C75" s="65"/>
      <c r="D75" s="65"/>
      <c r="E75" s="65"/>
      <c r="F75" s="65"/>
      <c r="G75" s="65"/>
      <c r="H75" s="65"/>
      <c r="I75" s="65"/>
      <c r="J75" s="65"/>
      <c r="K75" s="65"/>
      <c r="L75" s="65"/>
      <c r="M75" s="65"/>
      <c r="N75" s="65"/>
      <c r="O75" s="65"/>
      <c r="P75" s="65"/>
      <c r="Q75" s="65"/>
      <c r="R75" s="65"/>
      <c r="S75" s="65"/>
      <c r="T75" s="65"/>
      <c r="U75" s="65"/>
      <c r="V75" s="65"/>
      <c r="W75" s="65"/>
      <c r="X75" s="1"/>
    </row>
    <row r="76" spans="1:24" x14ac:dyDescent="0.25">
      <c r="A76" s="65"/>
      <c r="B76" s="65"/>
      <c r="C76" s="65"/>
      <c r="D76" s="65"/>
      <c r="E76" s="65"/>
      <c r="F76" s="65"/>
      <c r="G76" s="65"/>
      <c r="H76" s="65"/>
      <c r="I76" s="65"/>
      <c r="J76" s="65"/>
      <c r="K76" s="65"/>
      <c r="L76" s="65"/>
      <c r="M76" s="65"/>
      <c r="N76" s="65"/>
      <c r="O76" s="65"/>
      <c r="P76" s="65"/>
      <c r="Q76" s="65"/>
      <c r="R76" s="65"/>
      <c r="S76" s="65"/>
      <c r="T76" s="65"/>
      <c r="U76" s="65"/>
      <c r="V76" s="65"/>
      <c r="W76" s="65"/>
      <c r="X76" s="1"/>
    </row>
    <row r="77" spans="1:24" x14ac:dyDescent="0.25">
      <c r="A77" s="65"/>
      <c r="B77" s="65"/>
      <c r="C77" s="65"/>
      <c r="D77" s="65"/>
      <c r="E77" s="65"/>
      <c r="F77" s="65"/>
      <c r="G77" s="65"/>
      <c r="H77" s="65"/>
      <c r="I77" s="65"/>
      <c r="J77" s="65"/>
      <c r="K77" s="65"/>
      <c r="L77" s="65"/>
      <c r="M77" s="65"/>
      <c r="N77" s="65"/>
      <c r="O77" s="65"/>
      <c r="P77" s="65"/>
      <c r="Q77" s="65"/>
      <c r="R77" s="65"/>
      <c r="S77" s="65"/>
      <c r="T77" s="65"/>
      <c r="U77" s="65"/>
      <c r="V77" s="65"/>
      <c r="W77" s="65"/>
      <c r="X77" s="1"/>
    </row>
    <row r="78" spans="1:24" x14ac:dyDescent="0.25">
      <c r="A78" s="65"/>
      <c r="B78" s="65"/>
      <c r="C78" s="65"/>
      <c r="D78" s="65"/>
      <c r="E78" s="65"/>
      <c r="F78" s="65"/>
      <c r="G78" s="65"/>
      <c r="H78" s="65"/>
      <c r="I78" s="65"/>
      <c r="J78" s="65"/>
      <c r="K78" s="65"/>
      <c r="L78" s="65"/>
      <c r="M78" s="65"/>
      <c r="N78" s="65"/>
      <c r="O78" s="65"/>
      <c r="P78" s="65"/>
      <c r="Q78" s="65"/>
      <c r="R78" s="65"/>
      <c r="S78" s="65"/>
      <c r="T78" s="65"/>
      <c r="U78" s="65"/>
      <c r="V78" s="65"/>
      <c r="W78" s="65"/>
      <c r="X78" s="1"/>
    </row>
    <row r="79" spans="1:24" x14ac:dyDescent="0.25">
      <c r="A79" s="65"/>
      <c r="B79" s="65"/>
      <c r="C79" s="65"/>
      <c r="D79" s="65"/>
      <c r="E79" s="65"/>
      <c r="F79" s="65"/>
      <c r="G79" s="65"/>
      <c r="H79" s="65"/>
      <c r="I79" s="65"/>
      <c r="J79" s="65"/>
      <c r="K79" s="65"/>
      <c r="L79" s="65"/>
      <c r="M79" s="65"/>
      <c r="N79" s="65"/>
      <c r="O79" s="65"/>
      <c r="P79" s="65"/>
      <c r="Q79" s="65"/>
      <c r="R79" s="65"/>
      <c r="S79" s="65"/>
      <c r="T79" s="65"/>
      <c r="U79" s="65"/>
      <c r="V79" s="65"/>
      <c r="W79" s="65"/>
      <c r="X79" s="1"/>
    </row>
    <row r="80" spans="1:24" x14ac:dyDescent="0.25">
      <c r="A80" s="65"/>
      <c r="B80" s="65"/>
      <c r="C80" s="65"/>
      <c r="D80" s="65"/>
      <c r="E80" s="65"/>
      <c r="F80" s="65"/>
      <c r="G80" s="65"/>
      <c r="H80" s="65"/>
      <c r="I80" s="65"/>
      <c r="J80" s="65"/>
      <c r="K80" s="65"/>
      <c r="L80" s="65"/>
      <c r="M80" s="65"/>
      <c r="N80" s="65"/>
      <c r="O80" s="65"/>
      <c r="P80" s="65"/>
      <c r="Q80" s="65"/>
      <c r="R80" s="65"/>
      <c r="S80" s="65"/>
      <c r="T80" s="65"/>
      <c r="U80" s="65"/>
      <c r="V80" s="65"/>
      <c r="W80" s="65"/>
      <c r="X80" s="1"/>
    </row>
    <row r="81" spans="1:24" x14ac:dyDescent="0.25">
      <c r="A81" s="65"/>
      <c r="B81" s="65"/>
      <c r="C81" s="65"/>
      <c r="D81" s="65"/>
      <c r="E81" s="65"/>
      <c r="F81" s="65"/>
      <c r="G81" s="65"/>
      <c r="H81" s="65"/>
      <c r="I81" s="65"/>
      <c r="J81" s="65"/>
      <c r="K81" s="65"/>
      <c r="L81" s="65"/>
      <c r="M81" s="65"/>
      <c r="N81" s="65"/>
      <c r="O81" s="65"/>
      <c r="P81" s="65"/>
      <c r="Q81" s="65"/>
      <c r="R81" s="65"/>
      <c r="S81" s="65"/>
      <c r="T81" s="65"/>
      <c r="U81" s="65"/>
      <c r="V81" s="65"/>
      <c r="W81" s="65"/>
      <c r="X81" s="1"/>
    </row>
    <row r="82" spans="1:24" x14ac:dyDescent="0.25">
      <c r="A82" s="65"/>
      <c r="B82" s="65"/>
      <c r="C82" s="65"/>
      <c r="D82" s="65"/>
      <c r="E82" s="65"/>
      <c r="F82" s="65"/>
      <c r="G82" s="65"/>
      <c r="H82" s="65"/>
      <c r="I82" s="65"/>
      <c r="J82" s="65"/>
      <c r="K82" s="65"/>
      <c r="L82" s="65"/>
      <c r="M82" s="65"/>
      <c r="N82" s="65"/>
      <c r="O82" s="65"/>
      <c r="P82" s="65"/>
      <c r="Q82" s="65"/>
      <c r="R82" s="65"/>
      <c r="S82" s="65"/>
      <c r="T82" s="65"/>
      <c r="U82" s="65"/>
      <c r="V82" s="65"/>
      <c r="W82" s="65"/>
      <c r="X82" s="1"/>
    </row>
    <row r="83" spans="1:24" x14ac:dyDescent="0.25">
      <c r="A83" s="65"/>
      <c r="B83" s="65"/>
      <c r="C83" s="65"/>
      <c r="D83" s="65"/>
      <c r="E83" s="65"/>
      <c r="F83" s="65"/>
      <c r="G83" s="65"/>
      <c r="H83" s="65"/>
      <c r="I83" s="65"/>
      <c r="J83" s="65"/>
      <c r="K83" s="65"/>
      <c r="L83" s="65"/>
      <c r="M83" s="65"/>
      <c r="N83" s="65"/>
      <c r="O83" s="65"/>
      <c r="P83" s="65"/>
      <c r="Q83" s="65"/>
      <c r="R83" s="65"/>
      <c r="S83" s="65"/>
      <c r="T83" s="65"/>
      <c r="U83" s="65"/>
      <c r="V83" s="65"/>
      <c r="W83" s="65"/>
      <c r="X83" s="1"/>
    </row>
    <row r="84" spans="1:24" x14ac:dyDescent="0.25">
      <c r="A84" s="65"/>
      <c r="B84" s="65"/>
      <c r="C84" s="65"/>
      <c r="D84" s="65"/>
      <c r="E84" s="65"/>
      <c r="F84" s="65"/>
      <c r="G84" s="65"/>
      <c r="H84" s="65"/>
      <c r="I84" s="65"/>
      <c r="J84" s="65"/>
      <c r="K84" s="65"/>
      <c r="L84" s="65"/>
      <c r="M84" s="65"/>
      <c r="N84" s="65"/>
      <c r="O84" s="65"/>
      <c r="P84" s="65"/>
      <c r="Q84" s="65"/>
      <c r="R84" s="65"/>
      <c r="S84" s="65"/>
      <c r="T84" s="65"/>
      <c r="U84" s="65"/>
      <c r="V84" s="65"/>
      <c r="W84" s="65"/>
      <c r="X84" s="1"/>
    </row>
    <row r="85" spans="1:24" x14ac:dyDescent="0.25">
      <c r="A85" s="65"/>
      <c r="B85" s="65"/>
      <c r="C85" s="65"/>
      <c r="D85" s="65"/>
      <c r="E85" s="65"/>
      <c r="F85" s="65"/>
      <c r="G85" s="65"/>
      <c r="H85" s="65"/>
      <c r="I85" s="65"/>
      <c r="J85" s="65"/>
      <c r="K85" s="65"/>
      <c r="L85" s="65"/>
      <c r="M85" s="65"/>
      <c r="N85" s="65"/>
      <c r="O85" s="65"/>
      <c r="P85" s="65"/>
      <c r="Q85" s="65"/>
      <c r="R85" s="65"/>
      <c r="S85" s="65"/>
      <c r="T85" s="65"/>
      <c r="U85" s="65"/>
      <c r="V85" s="65"/>
      <c r="W85" s="65"/>
      <c r="X85" s="1"/>
    </row>
    <row r="86" spans="1:24" x14ac:dyDescent="0.25">
      <c r="A86" s="65"/>
      <c r="B86" s="65"/>
      <c r="C86" s="65"/>
      <c r="D86" s="65"/>
      <c r="E86" s="65"/>
      <c r="F86" s="65"/>
      <c r="G86" s="65"/>
      <c r="H86" s="65"/>
      <c r="I86" s="65"/>
      <c r="J86" s="65"/>
      <c r="K86" s="65"/>
      <c r="L86" s="65"/>
      <c r="M86" s="65"/>
      <c r="N86" s="65"/>
      <c r="O86" s="65"/>
      <c r="P86" s="65"/>
      <c r="Q86" s="65"/>
      <c r="R86" s="65"/>
      <c r="S86" s="65"/>
      <c r="T86" s="65"/>
      <c r="U86" s="65"/>
      <c r="V86" s="65"/>
      <c r="W86" s="65"/>
      <c r="X86" s="1"/>
    </row>
    <row r="87" spans="1:24" x14ac:dyDescent="0.25">
      <c r="A87" s="65"/>
      <c r="B87" s="65"/>
      <c r="C87" s="65"/>
      <c r="D87" s="65"/>
      <c r="E87" s="65"/>
      <c r="F87" s="65"/>
      <c r="G87" s="65"/>
      <c r="H87" s="65"/>
      <c r="I87" s="65"/>
      <c r="J87" s="65"/>
      <c r="K87" s="65"/>
      <c r="L87" s="65"/>
      <c r="M87" s="65"/>
      <c r="N87" s="65"/>
      <c r="O87" s="65"/>
      <c r="P87" s="65"/>
      <c r="Q87" s="65"/>
      <c r="R87" s="65"/>
      <c r="S87" s="65"/>
      <c r="T87" s="65"/>
      <c r="U87" s="65"/>
      <c r="V87" s="65"/>
      <c r="W87" s="65"/>
      <c r="X87" s="1"/>
    </row>
    <row r="88" spans="1:24" x14ac:dyDescent="0.25">
      <c r="A88" s="65"/>
      <c r="B88" s="65"/>
      <c r="C88" s="65"/>
      <c r="D88" s="65"/>
      <c r="E88" s="65"/>
      <c r="F88" s="65"/>
      <c r="G88" s="65"/>
      <c r="H88" s="65"/>
      <c r="I88" s="65"/>
      <c r="J88" s="65"/>
      <c r="K88" s="65"/>
      <c r="L88" s="65"/>
      <c r="M88" s="65"/>
      <c r="N88" s="65"/>
      <c r="O88" s="65"/>
      <c r="P88" s="65"/>
      <c r="Q88" s="65"/>
      <c r="R88" s="65"/>
      <c r="S88" s="65"/>
      <c r="T88" s="65"/>
      <c r="U88" s="65"/>
      <c r="V88" s="65"/>
      <c r="W88" s="65"/>
      <c r="X88" s="1"/>
    </row>
    <row r="89" spans="1:24" x14ac:dyDescent="0.25">
      <c r="A89" s="65"/>
      <c r="B89" s="65"/>
      <c r="C89" s="65"/>
      <c r="D89" s="65"/>
      <c r="E89" s="65"/>
      <c r="F89" s="65"/>
      <c r="G89" s="65"/>
      <c r="H89" s="65"/>
      <c r="I89" s="65"/>
      <c r="J89" s="65"/>
      <c r="K89" s="65"/>
      <c r="L89" s="65"/>
      <c r="M89" s="65"/>
      <c r="N89" s="65"/>
      <c r="O89" s="65"/>
      <c r="P89" s="65"/>
      <c r="Q89" s="65"/>
      <c r="R89" s="65"/>
      <c r="S89" s="65"/>
      <c r="T89" s="65"/>
      <c r="U89" s="65"/>
      <c r="V89" s="65"/>
      <c r="W89" s="65"/>
      <c r="X89" s="1"/>
    </row>
    <row r="90" spans="1:24" x14ac:dyDescent="0.25">
      <c r="A90" s="65"/>
      <c r="B90" s="65"/>
      <c r="C90" s="65"/>
      <c r="D90" s="65"/>
      <c r="E90" s="65"/>
      <c r="F90" s="65"/>
      <c r="G90" s="65"/>
      <c r="H90" s="65"/>
      <c r="I90" s="65"/>
      <c r="J90" s="65"/>
      <c r="K90" s="65"/>
      <c r="L90" s="65"/>
      <c r="M90" s="65"/>
      <c r="N90" s="65"/>
      <c r="O90" s="65"/>
      <c r="P90" s="65"/>
      <c r="Q90" s="65"/>
      <c r="R90" s="65"/>
      <c r="S90" s="65"/>
      <c r="T90" s="65"/>
      <c r="U90" s="65"/>
      <c r="V90" s="65"/>
      <c r="W90" s="65"/>
      <c r="X90" s="1"/>
    </row>
    <row r="91" spans="1:24" x14ac:dyDescent="0.25">
      <c r="A91" s="65"/>
      <c r="B91" s="65"/>
      <c r="C91" s="65"/>
      <c r="D91" s="65"/>
      <c r="E91" s="65"/>
      <c r="F91" s="65"/>
      <c r="G91" s="65"/>
      <c r="H91" s="65"/>
      <c r="I91" s="65"/>
      <c r="J91" s="65"/>
      <c r="K91" s="65"/>
      <c r="L91" s="65"/>
      <c r="M91" s="65"/>
      <c r="N91" s="65"/>
      <c r="O91" s="65"/>
      <c r="P91" s="65"/>
      <c r="Q91" s="65"/>
      <c r="R91" s="65"/>
      <c r="S91" s="65"/>
      <c r="T91" s="65"/>
      <c r="U91" s="65"/>
      <c r="V91" s="65"/>
      <c r="W91" s="65"/>
      <c r="X91" s="1"/>
    </row>
    <row r="92" spans="1:24" x14ac:dyDescent="0.25">
      <c r="A92" s="65"/>
      <c r="B92" s="65"/>
      <c r="C92" s="65"/>
      <c r="D92" s="65"/>
      <c r="E92" s="65"/>
      <c r="F92" s="65"/>
      <c r="G92" s="65"/>
      <c r="H92" s="65"/>
      <c r="I92" s="65"/>
      <c r="J92" s="65"/>
      <c r="K92" s="65"/>
      <c r="L92" s="65"/>
      <c r="M92" s="65"/>
      <c r="N92" s="65"/>
      <c r="O92" s="65"/>
      <c r="P92" s="65"/>
      <c r="Q92" s="65"/>
      <c r="R92" s="65"/>
      <c r="S92" s="65"/>
      <c r="T92" s="65"/>
      <c r="U92" s="65"/>
      <c r="V92" s="65"/>
      <c r="W92" s="65"/>
      <c r="X92" s="1"/>
    </row>
    <row r="93" spans="1:24" x14ac:dyDescent="0.25">
      <c r="A93" s="65"/>
      <c r="B93" s="65"/>
      <c r="C93" s="65"/>
      <c r="D93" s="65"/>
      <c r="E93" s="65"/>
      <c r="F93" s="65"/>
      <c r="G93" s="65"/>
      <c r="H93" s="65"/>
      <c r="I93" s="65"/>
      <c r="J93" s="65"/>
      <c r="K93" s="65"/>
      <c r="L93" s="65"/>
      <c r="M93" s="65"/>
      <c r="N93" s="65"/>
      <c r="O93" s="65"/>
      <c r="P93" s="65"/>
      <c r="Q93" s="65"/>
      <c r="R93" s="65"/>
      <c r="S93" s="65"/>
      <c r="T93" s="65"/>
      <c r="U93" s="65"/>
      <c r="V93" s="65"/>
      <c r="W93" s="65"/>
      <c r="X93" s="1"/>
    </row>
    <row r="94" spans="1:24" x14ac:dyDescent="0.25">
      <c r="A94" s="65"/>
      <c r="B94" s="65"/>
      <c r="C94" s="65"/>
      <c r="D94" s="65"/>
      <c r="E94" s="65"/>
      <c r="F94" s="65"/>
      <c r="G94" s="65"/>
      <c r="H94" s="65"/>
      <c r="I94" s="65"/>
      <c r="J94" s="65"/>
      <c r="K94" s="65"/>
      <c r="L94" s="65"/>
      <c r="M94" s="65"/>
      <c r="N94" s="65"/>
      <c r="O94" s="65"/>
      <c r="P94" s="65"/>
      <c r="Q94" s="65"/>
      <c r="R94" s="65"/>
      <c r="S94" s="65"/>
      <c r="T94" s="65"/>
      <c r="U94" s="65"/>
      <c r="V94" s="65"/>
      <c r="W94" s="65"/>
      <c r="X94" s="1"/>
    </row>
    <row r="95" spans="1:24" x14ac:dyDescent="0.25">
      <c r="A95" s="65"/>
      <c r="B95" s="65"/>
      <c r="C95" s="65"/>
      <c r="D95" s="65"/>
      <c r="E95" s="65"/>
      <c r="F95" s="65"/>
      <c r="G95" s="65"/>
      <c r="H95" s="65"/>
      <c r="I95" s="65"/>
      <c r="J95" s="65"/>
      <c r="K95" s="65"/>
      <c r="L95" s="65"/>
      <c r="M95" s="65"/>
      <c r="N95" s="65"/>
      <c r="O95" s="65"/>
      <c r="P95" s="65"/>
      <c r="Q95" s="65"/>
      <c r="R95" s="65"/>
      <c r="S95" s="65"/>
      <c r="T95" s="65"/>
      <c r="U95" s="65"/>
      <c r="V95" s="65"/>
      <c r="W95" s="65"/>
      <c r="X95" s="1"/>
    </row>
    <row r="96" spans="1:24" x14ac:dyDescent="0.25">
      <c r="A96" s="65"/>
      <c r="B96" s="65"/>
      <c r="C96" s="65"/>
      <c r="D96" s="65"/>
      <c r="E96" s="65"/>
      <c r="F96" s="65"/>
      <c r="G96" s="65"/>
      <c r="H96" s="65"/>
      <c r="I96" s="65"/>
      <c r="J96" s="65"/>
      <c r="K96" s="65"/>
      <c r="L96" s="65"/>
      <c r="M96" s="65"/>
      <c r="N96" s="65"/>
      <c r="O96" s="65"/>
      <c r="P96" s="65"/>
      <c r="Q96" s="65"/>
      <c r="R96" s="65"/>
      <c r="S96" s="65"/>
      <c r="T96" s="65"/>
      <c r="U96" s="65"/>
      <c r="V96" s="65"/>
      <c r="W96" s="65"/>
      <c r="X96" s="1"/>
    </row>
    <row r="97" spans="1:24" x14ac:dyDescent="0.25">
      <c r="A97" s="65"/>
      <c r="B97" s="65"/>
      <c r="C97" s="65"/>
      <c r="D97" s="65"/>
      <c r="E97" s="65"/>
      <c r="F97" s="65"/>
      <c r="G97" s="65"/>
      <c r="H97" s="65"/>
      <c r="I97" s="65"/>
      <c r="J97" s="65"/>
      <c r="K97" s="65"/>
      <c r="L97" s="65"/>
      <c r="M97" s="65"/>
      <c r="N97" s="65"/>
      <c r="O97" s="65"/>
      <c r="P97" s="65"/>
      <c r="Q97" s="65"/>
      <c r="R97" s="65"/>
      <c r="S97" s="65"/>
      <c r="T97" s="65"/>
      <c r="U97" s="65"/>
      <c r="V97" s="65"/>
      <c r="W97" s="65"/>
      <c r="X97" s="1"/>
    </row>
    <row r="98" spans="1:24" x14ac:dyDescent="0.25">
      <c r="A98" s="65"/>
      <c r="B98" s="65"/>
      <c r="C98" s="65"/>
      <c r="D98" s="65"/>
      <c r="E98" s="65"/>
      <c r="F98" s="65"/>
      <c r="G98" s="65"/>
      <c r="H98" s="65"/>
      <c r="I98" s="65"/>
      <c r="J98" s="65"/>
      <c r="K98" s="65"/>
      <c r="L98" s="65"/>
      <c r="M98" s="65"/>
      <c r="N98" s="65"/>
      <c r="O98" s="65"/>
      <c r="P98" s="65"/>
      <c r="Q98" s="65"/>
      <c r="R98" s="65"/>
      <c r="S98" s="65"/>
      <c r="T98" s="65"/>
      <c r="U98" s="65"/>
      <c r="V98" s="65"/>
      <c r="W98" s="65"/>
      <c r="X98" s="1"/>
    </row>
    <row r="99" spans="1:24" x14ac:dyDescent="0.25">
      <c r="A99" s="65"/>
      <c r="B99" s="65"/>
      <c r="C99" s="65"/>
      <c r="D99" s="65"/>
      <c r="E99" s="65"/>
      <c r="F99" s="65"/>
      <c r="G99" s="65"/>
      <c r="H99" s="65"/>
      <c r="I99" s="65"/>
      <c r="J99" s="65"/>
      <c r="K99" s="65"/>
      <c r="L99" s="65"/>
      <c r="M99" s="65"/>
      <c r="N99" s="65"/>
      <c r="O99" s="65"/>
      <c r="P99" s="65"/>
      <c r="Q99" s="65"/>
      <c r="R99" s="65"/>
      <c r="S99" s="65"/>
      <c r="T99" s="65"/>
      <c r="U99" s="65"/>
      <c r="V99" s="65"/>
      <c r="W99" s="65"/>
      <c r="X99" s="1"/>
    </row>
    <row r="100" spans="1:24" x14ac:dyDescent="0.2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1"/>
    </row>
    <row r="101" spans="1:24" x14ac:dyDescent="0.2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1"/>
    </row>
    <row r="102" spans="1:24" x14ac:dyDescent="0.2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1"/>
    </row>
    <row r="103" spans="1:24" x14ac:dyDescent="0.2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1"/>
    </row>
    <row r="104" spans="1:24" x14ac:dyDescent="0.2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1"/>
    </row>
    <row r="105" spans="1:24" x14ac:dyDescent="0.2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1"/>
    </row>
    <row r="106" spans="1:24" x14ac:dyDescent="0.25">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1"/>
    </row>
    <row r="107" spans="1:24" x14ac:dyDescent="0.25">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1"/>
    </row>
    <row r="108" spans="1:24" x14ac:dyDescent="0.25">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1"/>
    </row>
    <row r="109" spans="1:24" x14ac:dyDescent="0.25">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1"/>
    </row>
    <row r="110" spans="1:24" x14ac:dyDescent="0.25">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1"/>
    </row>
    <row r="111" spans="1:24" x14ac:dyDescent="0.25">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1"/>
    </row>
    <row r="112" spans="1:24" x14ac:dyDescent="0.25">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1"/>
    </row>
    <row r="113" spans="1:24" x14ac:dyDescent="0.25">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1"/>
    </row>
    <row r="114" spans="1:24" x14ac:dyDescent="0.25">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1"/>
    </row>
    <row r="115" spans="1:24" x14ac:dyDescent="0.25">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1"/>
    </row>
    <row r="116" spans="1:24" x14ac:dyDescent="0.25">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1"/>
    </row>
    <row r="117" spans="1:24" x14ac:dyDescent="0.25">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1"/>
    </row>
    <row r="118" spans="1:24" x14ac:dyDescent="0.25">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1"/>
    </row>
    <row r="119" spans="1:24" x14ac:dyDescent="0.25">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1"/>
    </row>
    <row r="120" spans="1:24" x14ac:dyDescent="0.25">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1"/>
    </row>
    <row r="121" spans="1:24" x14ac:dyDescent="0.25">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1"/>
    </row>
    <row r="122" spans="1:24" x14ac:dyDescent="0.25">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1"/>
    </row>
    <row r="123" spans="1:24" x14ac:dyDescent="0.25">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1"/>
    </row>
    <row r="124" spans="1:24" x14ac:dyDescent="0.25">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1"/>
    </row>
    <row r="125" spans="1:24" x14ac:dyDescent="0.25">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1"/>
    </row>
    <row r="126" spans="1:24" x14ac:dyDescent="0.25">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1"/>
    </row>
    <row r="127" spans="1:24" x14ac:dyDescent="0.25">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1"/>
    </row>
    <row r="128" spans="1:24" x14ac:dyDescent="0.25">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1"/>
    </row>
    <row r="129" spans="1:24" x14ac:dyDescent="0.25">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1"/>
    </row>
    <row r="130" spans="1:24" x14ac:dyDescent="0.25">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1"/>
    </row>
    <row r="131" spans="1:24" x14ac:dyDescent="0.25">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1"/>
    </row>
    <row r="132" spans="1:24" x14ac:dyDescent="0.25">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1"/>
    </row>
    <row r="133" spans="1:24" x14ac:dyDescent="0.25">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1"/>
    </row>
    <row r="134" spans="1:24" x14ac:dyDescent="0.25">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1"/>
    </row>
    <row r="135" spans="1:24" x14ac:dyDescent="0.25">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1"/>
    </row>
    <row r="136" spans="1:24" x14ac:dyDescent="0.25">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1"/>
    </row>
    <row r="137" spans="1:24" x14ac:dyDescent="0.25">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1"/>
    </row>
    <row r="138" spans="1:24" x14ac:dyDescent="0.25">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1"/>
    </row>
    <row r="139" spans="1:24" x14ac:dyDescent="0.25">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1"/>
    </row>
    <row r="140" spans="1:24" x14ac:dyDescent="0.25">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1"/>
    </row>
    <row r="141" spans="1:24" x14ac:dyDescent="0.25">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1"/>
    </row>
    <row r="142" spans="1:24" x14ac:dyDescent="0.25">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1"/>
    </row>
    <row r="143" spans="1:24" x14ac:dyDescent="0.25">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1"/>
    </row>
    <row r="144" spans="1:24" x14ac:dyDescent="0.25">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1"/>
    </row>
    <row r="145" spans="1:24" x14ac:dyDescent="0.25">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1"/>
    </row>
    <row r="146" spans="1:24" x14ac:dyDescent="0.25">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1"/>
    </row>
    <row r="147" spans="1:24" x14ac:dyDescent="0.25">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1"/>
    </row>
    <row r="148" spans="1:24" x14ac:dyDescent="0.25">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1"/>
    </row>
    <row r="149" spans="1:24" x14ac:dyDescent="0.25">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1"/>
    </row>
    <row r="150" spans="1:24" x14ac:dyDescent="0.25">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1"/>
    </row>
    <row r="151" spans="1:24" x14ac:dyDescent="0.25">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1"/>
    </row>
    <row r="152" spans="1:24" x14ac:dyDescent="0.25">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1"/>
    </row>
    <row r="153" spans="1:24" x14ac:dyDescent="0.25">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1"/>
    </row>
    <row r="154" spans="1:24" x14ac:dyDescent="0.25">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1"/>
    </row>
    <row r="155" spans="1:24" x14ac:dyDescent="0.25">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1"/>
    </row>
    <row r="156" spans="1:24" x14ac:dyDescent="0.25">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1"/>
    </row>
    <row r="157" spans="1:24" x14ac:dyDescent="0.25">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1"/>
    </row>
    <row r="158" spans="1:24" x14ac:dyDescent="0.25">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1"/>
    </row>
    <row r="159" spans="1:24" x14ac:dyDescent="0.25">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1"/>
    </row>
    <row r="160" spans="1:24" x14ac:dyDescent="0.25">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1"/>
    </row>
    <row r="161" spans="1:24" x14ac:dyDescent="0.25">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1"/>
    </row>
    <row r="162" spans="1:24" x14ac:dyDescent="0.25">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1"/>
    </row>
    <row r="163" spans="1:24" x14ac:dyDescent="0.25">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1"/>
    </row>
    <row r="164" spans="1:24" x14ac:dyDescent="0.25">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1"/>
    </row>
    <row r="165" spans="1:24" x14ac:dyDescent="0.25">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1"/>
    </row>
    <row r="166" spans="1:24" x14ac:dyDescent="0.25">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1"/>
    </row>
    <row r="167" spans="1:24" x14ac:dyDescent="0.25">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1"/>
    </row>
    <row r="168" spans="1:24" x14ac:dyDescent="0.25">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1"/>
    </row>
    <row r="169" spans="1:24" x14ac:dyDescent="0.25">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1"/>
    </row>
    <row r="170" spans="1:24" x14ac:dyDescent="0.25">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1"/>
    </row>
    <row r="171" spans="1:24" x14ac:dyDescent="0.25">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1"/>
    </row>
    <row r="172" spans="1:24" x14ac:dyDescent="0.25">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1"/>
    </row>
    <row r="173" spans="1:24" x14ac:dyDescent="0.25">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1"/>
    </row>
    <row r="174" spans="1:24" x14ac:dyDescent="0.25">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1"/>
    </row>
    <row r="175" spans="1:24" x14ac:dyDescent="0.25">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1"/>
    </row>
    <row r="176" spans="1:24" x14ac:dyDescent="0.25">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1"/>
    </row>
    <row r="177" spans="1:24" x14ac:dyDescent="0.25">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1"/>
    </row>
    <row r="178" spans="1:24" x14ac:dyDescent="0.25">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1"/>
    </row>
    <row r="179" spans="1:24" x14ac:dyDescent="0.25">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1"/>
    </row>
    <row r="180" spans="1:24" x14ac:dyDescent="0.25">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1"/>
    </row>
    <row r="181" spans="1:24" x14ac:dyDescent="0.25">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1"/>
    </row>
    <row r="182" spans="1:24" x14ac:dyDescent="0.25">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1"/>
    </row>
    <row r="183" spans="1:24" x14ac:dyDescent="0.25">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1"/>
    </row>
    <row r="184" spans="1:24" x14ac:dyDescent="0.25">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1"/>
    </row>
    <row r="185" spans="1:24" x14ac:dyDescent="0.25">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1"/>
    </row>
    <row r="186" spans="1:24" x14ac:dyDescent="0.25">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1"/>
    </row>
    <row r="187" spans="1:24" x14ac:dyDescent="0.25">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1"/>
    </row>
    <row r="188" spans="1:24" x14ac:dyDescent="0.25">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1"/>
    </row>
    <row r="189" spans="1:24" x14ac:dyDescent="0.25">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1"/>
    </row>
    <row r="190" spans="1:24" x14ac:dyDescent="0.25">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1"/>
    </row>
    <row r="191" spans="1:24" x14ac:dyDescent="0.25">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1"/>
    </row>
    <row r="192" spans="1:24" x14ac:dyDescent="0.25">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1"/>
    </row>
    <row r="193" spans="1:24" x14ac:dyDescent="0.25">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1"/>
    </row>
    <row r="194" spans="1:24" x14ac:dyDescent="0.25">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1"/>
    </row>
    <row r="195" spans="1:24" x14ac:dyDescent="0.25">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1"/>
    </row>
    <row r="196" spans="1:24" x14ac:dyDescent="0.25">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1"/>
    </row>
    <row r="197" spans="1:24" x14ac:dyDescent="0.25">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1"/>
    </row>
    <row r="198" spans="1:24" x14ac:dyDescent="0.25">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1"/>
    </row>
    <row r="199" spans="1:24" x14ac:dyDescent="0.25">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1"/>
    </row>
    <row r="200" spans="1:24" x14ac:dyDescent="0.25">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1"/>
    </row>
    <row r="201" spans="1:24" x14ac:dyDescent="0.25">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1"/>
    </row>
    <row r="202" spans="1:24" x14ac:dyDescent="0.25">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1"/>
    </row>
    <row r="203" spans="1:24" x14ac:dyDescent="0.25">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1"/>
    </row>
    <row r="204" spans="1:24" x14ac:dyDescent="0.25">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1"/>
    </row>
    <row r="205" spans="1:24" x14ac:dyDescent="0.25">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1"/>
    </row>
    <row r="206" spans="1:24" x14ac:dyDescent="0.25">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1"/>
    </row>
    <row r="207" spans="1:24" x14ac:dyDescent="0.25">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1"/>
    </row>
    <row r="208" spans="1:24" x14ac:dyDescent="0.25">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1"/>
    </row>
    <row r="209" spans="1:24" x14ac:dyDescent="0.25">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1"/>
    </row>
    <row r="210" spans="1:24" x14ac:dyDescent="0.25">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1"/>
    </row>
    <row r="211" spans="1:24" x14ac:dyDescent="0.25">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1"/>
    </row>
    <row r="212" spans="1:24" x14ac:dyDescent="0.25">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1"/>
    </row>
    <row r="213" spans="1:24" x14ac:dyDescent="0.25">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1"/>
    </row>
    <row r="214" spans="1:24" x14ac:dyDescent="0.25">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1"/>
    </row>
    <row r="215" spans="1:24" x14ac:dyDescent="0.25">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1"/>
    </row>
    <row r="216" spans="1:24" x14ac:dyDescent="0.25">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1"/>
    </row>
    <row r="217" spans="1:24" x14ac:dyDescent="0.25">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1"/>
    </row>
    <row r="218" spans="1:24" x14ac:dyDescent="0.25">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1"/>
    </row>
    <row r="219" spans="1:24" x14ac:dyDescent="0.25">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1"/>
    </row>
    <row r="220" spans="1:24" x14ac:dyDescent="0.25">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1"/>
    </row>
    <row r="221" spans="1:24" x14ac:dyDescent="0.25">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1"/>
    </row>
    <row r="222" spans="1:24" x14ac:dyDescent="0.25">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1"/>
    </row>
    <row r="223" spans="1:24" x14ac:dyDescent="0.25">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1"/>
    </row>
    <row r="224" spans="1:24" x14ac:dyDescent="0.25">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1"/>
    </row>
    <row r="225" spans="1:24" x14ac:dyDescent="0.25">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1"/>
    </row>
    <row r="226" spans="1:24" x14ac:dyDescent="0.25">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1"/>
    </row>
    <row r="227" spans="1:24" x14ac:dyDescent="0.25">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1"/>
    </row>
    <row r="228" spans="1:24" x14ac:dyDescent="0.25">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1"/>
    </row>
    <row r="229" spans="1:24" x14ac:dyDescent="0.25">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1"/>
    </row>
    <row r="230" spans="1:24" x14ac:dyDescent="0.25">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1"/>
    </row>
    <row r="231" spans="1:24" x14ac:dyDescent="0.25">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1"/>
    </row>
    <row r="232" spans="1:24" x14ac:dyDescent="0.25">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1"/>
    </row>
    <row r="233" spans="1:24" x14ac:dyDescent="0.25">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1"/>
    </row>
    <row r="234" spans="1:24" x14ac:dyDescent="0.25">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1"/>
    </row>
    <row r="235" spans="1:24" x14ac:dyDescent="0.25">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1"/>
    </row>
    <row r="236" spans="1:24" x14ac:dyDescent="0.25">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1"/>
    </row>
    <row r="237" spans="1:24" x14ac:dyDescent="0.25">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1"/>
    </row>
    <row r="238" spans="1:24" x14ac:dyDescent="0.25">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1"/>
    </row>
    <row r="239" spans="1:24" x14ac:dyDescent="0.25">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1"/>
    </row>
    <row r="240" spans="1:24" x14ac:dyDescent="0.25">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1"/>
    </row>
    <row r="241" spans="1:24" x14ac:dyDescent="0.25">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1"/>
    </row>
    <row r="242" spans="1:24" x14ac:dyDescent="0.25">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1"/>
    </row>
    <row r="243" spans="1:24" x14ac:dyDescent="0.25">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1"/>
    </row>
    <row r="244" spans="1:24" x14ac:dyDescent="0.25">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1"/>
    </row>
    <row r="245" spans="1:24" x14ac:dyDescent="0.25">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1"/>
    </row>
    <row r="246" spans="1:24" x14ac:dyDescent="0.25">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1"/>
    </row>
    <row r="247" spans="1:24" x14ac:dyDescent="0.25">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1"/>
    </row>
    <row r="248" spans="1:24" x14ac:dyDescent="0.25">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1"/>
    </row>
    <row r="249" spans="1:24" x14ac:dyDescent="0.25">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1"/>
    </row>
    <row r="250" spans="1:24" x14ac:dyDescent="0.25">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1"/>
    </row>
    <row r="251" spans="1:24" x14ac:dyDescent="0.25">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1"/>
    </row>
    <row r="252" spans="1:24" x14ac:dyDescent="0.25">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1"/>
    </row>
    <row r="253" spans="1:24" x14ac:dyDescent="0.25">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1"/>
    </row>
    <row r="254" spans="1:24" x14ac:dyDescent="0.25">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1"/>
    </row>
    <row r="255" spans="1:24" s="80" customFormat="1" hidden="1" x14ac:dyDescent="0.25">
      <c r="R255" s="81"/>
      <c r="X255"/>
    </row>
    <row r="256" spans="1:24"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sheetData>
  <autoFilter ref="B8:U34" xr:uid="{708916EF-FC30-4394-88C7-33A818B1F906}"/>
  <dataValidations count="23">
    <dataValidation type="list" allowBlank="1" showInputMessage="1" showErrorMessage="1" sqref="S10" xr:uid="{5E1CD2AB-A644-4A77-9E68-C38DDAF68898}">
      <formula1>"Baixa, Média, Alta, n/a"</formula1>
    </dataValidation>
    <dataValidation type="list" allowBlank="1" showInputMessage="1" showErrorMessage="1" sqref="M10:N10" xr:uid="{19EADC67-34B9-4D1E-9375-1E26E4B02A86}">
      <formula1>"Sim, Não"</formula1>
    </dataValidation>
    <dataValidation type="list" allowBlank="1" showInputMessage="1" showErrorMessage="1" sqref="U9:V34 V35:V55" xr:uid="{6A08B8B1-6CA8-4FD7-8CDB-12DD23F23042}">
      <formula1>"Sim,Não"</formula1>
    </dataValidation>
    <dataValidation allowBlank="1" showInputMessage="1" showErrorMessage="1" promptTitle="Ação orçamentária" prompt="Informação gerada pela SOF. Para o preenchimento é preciso avaliar a tabela contida no manual de utilização do formulário de captação de demandas" sqref="C8" xr:uid="{B6379AA9-237C-4A06-9870-3885E987B00F}"/>
    <dataValidation allowBlank="1" showInputMessage="1" showErrorMessage="1" promptTitle="Plano orçamentário" prompt="Informação gerada pela SOF. Para o preenchimento é preciso avaliar a tabela contida no manual de utilização do formulário de captação de demandas" sqref="D8" xr:uid="{116C83E8-7F84-4F65-BA98-7688177B8B7B}"/>
    <dataValidation allowBlank="1" showInputMessage="1" showErrorMessage="1" promptTitle="Natureza de despesa detalhada" prompt="Informação gerada pela SOF. Para o preenchimento deve-se avaliar a classificação orçamentária informada no processo SEI do objeto " sqref="F8" xr:uid="{137B0255-360F-48EF-B0BC-9EA051D4469D}"/>
    <dataValidation allowBlank="1" showInputMessage="1" showErrorMessage="1" promptTitle="Demanda" prompt="Descreva o objeto da contratação resumidamente" sqref="H8" xr:uid="{080EB6E8-6F51-4A0A-A81D-7A4AC9C99C7A}"/>
    <dataValidation allowBlank="1" showInputMessage="1" showErrorMessage="1" promptTitle="Justificativa" prompt="Descreva a justificativa da contratação do objeto" sqref="J8" xr:uid="{5B23DA64-DF2F-44DA-83DA-985A55F47831}"/>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8" xr:uid="{8FEB134D-A610-4E89-B107-8309BD946B65}"/>
    <dataValidation allowBlank="1" showInputMessage="1" showErrorMessage="1" promptTitle="Unidade" prompt="Não é necessário o preenchimento" sqref="G8" xr:uid="{45ABCB28-B073-487D-8140-503C8BD69803}"/>
    <dataValidation allowBlank="1" showInputMessage="1" showErrorMessage="1" promptTitle="UGR" prompt="Quando necessário, insira a unidade gestora responsável pelo objeto" sqref="K8" xr:uid="{3B8CFB8E-F81D-4666-84F3-F89D7E63B4F2}"/>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8" xr:uid="{73671E81-075D-4405-9A09-E6798BDE53AD}"/>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8" xr:uid="{DB1B2F7D-2860-4D25-8072-E195B454857A}"/>
    <dataValidation allowBlank="1" showInputMessage="1" showErrorMessage="1" promptTitle="Tipo de aquisição" prompt="Selecione “Licitação”, “Somente execução”, “Contratação direta”, “Prorrogação”, “n/a” na lista suspensa" sqref="O8" xr:uid="{79205B0F-2C79-4B44-AC09-0E7C83A3FFDE}"/>
    <dataValidation allowBlank="1" showInputMessage="1" showErrorMessage="1" promptTitle="Processo SEI" prompt="Informe o processo SEI do objeto " sqref="P8" xr:uid="{8503176C-AFED-46DF-AB32-37AF019FC0FB}"/>
    <dataValidation allowBlank="1" showInputMessage="1" showErrorMessage="1" promptTitle="Nº do contrato, ARP ou NE" prompt="Quando houver sido gerado, registrar o número do contrato, ata de registro de preço ou nota de empenho do objeto. Caso contrário deve-se registrar n/a" sqref="Q8" xr:uid="{FF405B2F-9448-4CA2-896F-1799AEFD57F9}"/>
    <dataValidation allowBlank="1" showInputMessage="1" showErrorMessage="1" promptTitle="Data de referência" prompt="Este campo deve ser preenchido somente caso o tipo de contratação seja &quot;Contratação direta&quot; ou &quot;Licitação&quot;, caso contrário preencha &quot;n/a&quot;. A data preenchida refere-se à quando a unidade demandante espera que seja iniciada a execução da contratação" sqref="R8" xr:uid="{EF56B948-8E6B-4786-A802-A822819B8A99}"/>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8" xr:uid="{C985402B-7E89-46FE-A1AB-1215A0752122}"/>
    <dataValidation allowBlank="1" showInputMessage="1" showErrorMessage="1" promptTitle="Classificação CATMAT / CATSER" prompt="Este campo deverá ser preenchido com o código da classe do Catálogo de Materiais e Serviços." sqref="T8" xr:uid="{23949A19-4CFE-4D66-BD2E-6348373346E5}"/>
    <dataValidation allowBlank="1" showInputMessage="1" showErrorMessage="1" promptTitle="Captação" prompt="Insira o orçamento necessário para atender a demanda no referente _x000a_exercício" sqref="I8" xr:uid="{B5E804A2-2CF0-4585-965B-08642A54C747}"/>
    <dataValidation allowBlank="1" showInputMessage="1" showErrorMessage="1" promptTitle="Item PCA" prompt="Não é necessário o preenchimento" sqref="B8" xr:uid="{0FA89C81-7073-48A0-8A18-BF8A83593660}"/>
    <dataValidation type="list" allowBlank="1" showInputMessage="1" showErrorMessage="1" sqref="O9:O26" xr:uid="{4B35BAC7-12F3-4634-999A-FC99226692F1}">
      <formula1>"Licitação, Contratação Direta, Prorrogação, Somente execução, Somente execução - Dispensa, Suprimento de fundos, n/a"</formula1>
    </dataValidation>
    <dataValidation allowBlank="1" showInputMessage="1" showErrorMessage="1" promptTitle="Dispensa em função do valor?" prompt="Este campo deverá ser preenchido com &quot;sim&quot; caso a contratação tenha sido em função de uma dispensa em razão do valor ou suprimento de fundos. Caso contrário, deve ser marcado como &quot;não&quot;." sqref="U8:W8" xr:uid="{7B2B87C9-89E5-472D-A7AF-6FD64177E8A3}"/>
  </dataValidation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57FA-77E1-41CD-8CA3-F4C62F7CC836}">
  <dimension ref="A1:M344"/>
  <sheetViews>
    <sheetView zoomScale="85" zoomScaleNormal="85" workbookViewId="0">
      <selection activeCell="H178" sqref="H178"/>
    </sheetView>
  </sheetViews>
  <sheetFormatPr defaultColWidth="0" defaultRowHeight="15" zeroHeight="1" x14ac:dyDescent="0.25"/>
  <cols>
    <col min="1" max="1" width="3.7109375" customWidth="1"/>
    <col min="2" max="2" width="29.5703125" bestFit="1" customWidth="1"/>
    <col min="3" max="6" width="23.85546875" bestFit="1" customWidth="1"/>
    <col min="7" max="7" width="8.140625" customWidth="1"/>
    <col min="8" max="8" width="73" customWidth="1"/>
    <col min="9" max="10" width="23.85546875" bestFit="1" customWidth="1"/>
    <col min="11" max="11" width="19" bestFit="1" customWidth="1"/>
    <col min="12" max="12" width="29.85546875" customWidth="1"/>
    <col min="13" max="13" width="5.85546875" customWidth="1"/>
    <col min="14" max="16384" width="9.140625" hidden="1"/>
  </cols>
  <sheetData>
    <row r="1" spans="1:13" ht="15.75" thickBot="1" x14ac:dyDescent="0.3">
      <c r="A1" s="12"/>
      <c r="B1" s="12"/>
      <c r="C1" s="12"/>
      <c r="D1" s="12"/>
      <c r="E1" s="12"/>
      <c r="F1" s="12"/>
      <c r="G1" s="12"/>
      <c r="H1" s="12"/>
      <c r="I1" s="12"/>
      <c r="J1" s="12"/>
      <c r="K1" s="12"/>
      <c r="L1" s="12"/>
      <c r="M1" s="12"/>
    </row>
    <row r="2" spans="1:13" ht="33.75" customHeight="1" thickBot="1" x14ac:dyDescent="0.3">
      <c r="A2" s="12"/>
      <c r="B2" s="13" t="s">
        <v>1033</v>
      </c>
      <c r="C2" s="13"/>
      <c r="D2" s="13"/>
      <c r="E2" s="13"/>
      <c r="F2" s="13"/>
      <c r="G2" s="13"/>
      <c r="H2" s="13"/>
      <c r="I2" s="13"/>
      <c r="J2" s="13"/>
      <c r="K2" s="13"/>
      <c r="L2" s="14"/>
      <c r="M2" s="12"/>
    </row>
    <row r="3" spans="1:13" ht="15.75" thickBot="1" x14ac:dyDescent="0.3">
      <c r="A3" s="12"/>
      <c r="B3" s="12"/>
      <c r="C3" s="12"/>
      <c r="D3" s="12"/>
      <c r="E3" s="12"/>
      <c r="F3" s="12"/>
      <c r="G3" s="12"/>
      <c r="H3" s="12"/>
      <c r="I3" s="12"/>
      <c r="J3" s="12"/>
      <c r="K3" s="12"/>
      <c r="L3" s="12"/>
      <c r="M3" s="12"/>
    </row>
    <row r="4" spans="1:13" ht="15.75" thickBot="1" x14ac:dyDescent="0.3">
      <c r="A4" s="12"/>
      <c r="B4" s="12"/>
      <c r="C4" s="12"/>
      <c r="D4" s="15">
        <f>D13-SUM(PCA!I:I)+PCA!I7</f>
        <v>0</v>
      </c>
      <c r="E4" s="15">
        <f>SUM(E6:E12)-$J$6</f>
        <v>0</v>
      </c>
      <c r="F4" s="12"/>
      <c r="G4" s="12"/>
      <c r="H4" s="12"/>
      <c r="I4" s="16">
        <f>J6-I6</f>
        <v>0</v>
      </c>
      <c r="J4" s="16">
        <f>E13-J8-J9-J10-J11-J12-J13-J14-J15-J16-J17-J19-J20</f>
        <v>0</v>
      </c>
      <c r="K4" s="12"/>
      <c r="L4" s="12"/>
      <c r="M4" s="12"/>
    </row>
    <row r="5" spans="1:13" ht="48" thickBot="1" x14ac:dyDescent="0.3">
      <c r="A5" s="12"/>
      <c r="B5" s="17" t="s">
        <v>8</v>
      </c>
      <c r="C5" s="17"/>
      <c r="D5" s="18" t="s">
        <v>1034</v>
      </c>
      <c r="E5" s="18" t="s">
        <v>1035</v>
      </c>
      <c r="F5" s="19" t="s">
        <v>1036</v>
      </c>
      <c r="G5" s="12"/>
      <c r="H5" s="20" t="s">
        <v>1037</v>
      </c>
      <c r="I5" s="21" t="s">
        <v>1038</v>
      </c>
      <c r="J5" s="22" t="s">
        <v>1039</v>
      </c>
      <c r="K5" s="12"/>
      <c r="L5" s="23" t="s">
        <v>1040</v>
      </c>
      <c r="M5" s="12"/>
    </row>
    <row r="6" spans="1:13" ht="18" x14ac:dyDescent="0.25">
      <c r="A6" s="12"/>
      <c r="B6" s="24" t="s">
        <v>715</v>
      </c>
      <c r="C6" s="24"/>
      <c r="D6" s="25">
        <f>SUMIF(PCA!G:G,'Resumo por unidade'!B6,PCA!I:I)</f>
        <v>1499000</v>
      </c>
      <c r="E6" s="25">
        <f>J14+J19+J20</f>
        <v>1499000</v>
      </c>
      <c r="F6" s="26">
        <f t="shared" ref="F6:F13" si="0">E6-D6</f>
        <v>0</v>
      </c>
      <c r="G6" s="12"/>
      <c r="H6" s="27" t="s">
        <v>1041</v>
      </c>
      <c r="I6" s="28">
        <f>+I7+I18</f>
        <v>179558538</v>
      </c>
      <c r="J6" s="29">
        <f>+J7+J18</f>
        <v>179558538</v>
      </c>
      <c r="K6" s="12"/>
      <c r="L6" s="30">
        <v>1935475</v>
      </c>
      <c r="M6" s="12"/>
    </row>
    <row r="7" spans="1:13" s="12" customFormat="1" ht="31.5" x14ac:dyDescent="0.2">
      <c r="B7" s="24" t="s">
        <v>28</v>
      </c>
      <c r="C7" s="24"/>
      <c r="D7" s="25">
        <f>SUMIF(PCA!G:G,'Resumo por unidade'!B7,PCA!I:I)</f>
        <v>75277396.75</v>
      </c>
      <c r="E7" s="31">
        <f>J8</f>
        <v>75277397</v>
      </c>
      <c r="F7" s="32">
        <f t="shared" si="0"/>
        <v>0.25</v>
      </c>
      <c r="H7" s="33" t="s">
        <v>1042</v>
      </c>
      <c r="I7" s="64">
        <v>179059538</v>
      </c>
      <c r="J7" s="34">
        <v>179059538</v>
      </c>
      <c r="L7" s="30">
        <v>2111387</v>
      </c>
    </row>
    <row r="8" spans="1:13" ht="18" x14ac:dyDescent="0.25">
      <c r="A8" s="12"/>
      <c r="B8" s="24" t="s">
        <v>442</v>
      </c>
      <c r="C8" s="24"/>
      <c r="D8" s="25">
        <f>SUMIF(PCA!G:G,'Resumo por unidade'!B8,PCA!I:I)</f>
        <v>84732140.997560009</v>
      </c>
      <c r="E8" s="31">
        <f>J10+J11+J12</f>
        <v>84732141</v>
      </c>
      <c r="F8" s="32">
        <f t="shared" si="0"/>
        <v>2.4399906396865845E-3</v>
      </c>
      <c r="G8" s="12"/>
      <c r="H8" s="35" t="s">
        <v>1043</v>
      </c>
      <c r="I8" s="36">
        <v>75877397</v>
      </c>
      <c r="J8" s="97">
        <f>75877397-600000</f>
        <v>75277397</v>
      </c>
      <c r="K8" s="12"/>
      <c r="L8" s="12"/>
      <c r="M8" s="12"/>
    </row>
    <row r="9" spans="1:13" ht="18" x14ac:dyDescent="0.25">
      <c r="A9" s="12"/>
      <c r="B9" s="24" t="s">
        <v>750</v>
      </c>
      <c r="C9" s="24"/>
      <c r="D9" s="25">
        <f>SUMIF(PCA!G:G,'Resumo por unidade'!B9,PCA!I:I)</f>
        <v>9500000.0000000019</v>
      </c>
      <c r="E9" s="31">
        <f>J17</f>
        <v>9500000</v>
      </c>
      <c r="F9" s="32">
        <f t="shared" si="0"/>
        <v>0</v>
      </c>
      <c r="G9" s="12"/>
      <c r="H9" s="35" t="s">
        <v>1044</v>
      </c>
      <c r="I9" s="36">
        <v>5050000</v>
      </c>
      <c r="J9" s="98">
        <f>5050000+600000</f>
        <v>5650000</v>
      </c>
      <c r="K9" s="12"/>
      <c r="L9" s="12"/>
      <c r="M9" s="12"/>
    </row>
    <row r="10" spans="1:13" ht="30" x14ac:dyDescent="0.25">
      <c r="A10" s="12"/>
      <c r="B10" s="24" t="s">
        <v>436</v>
      </c>
      <c r="C10" s="24"/>
      <c r="D10" s="25">
        <f>SUMIF(PCA!G:G,'Resumo por unidade'!B10,PCA!I:I)</f>
        <v>5650000</v>
      </c>
      <c r="E10" s="31">
        <f>J9</f>
        <v>5650000</v>
      </c>
      <c r="F10" s="32">
        <f t="shared" si="0"/>
        <v>0</v>
      </c>
      <c r="G10" s="12"/>
      <c r="H10" s="35" t="s">
        <v>1045</v>
      </c>
      <c r="I10" s="36">
        <v>77375962</v>
      </c>
      <c r="J10" s="37">
        <v>77375962</v>
      </c>
      <c r="K10" s="12"/>
      <c r="L10" s="12"/>
      <c r="M10" s="12"/>
    </row>
    <row r="11" spans="1:13" ht="30" x14ac:dyDescent="0.25">
      <c r="A11" s="12"/>
      <c r="B11" s="24" t="s">
        <v>693</v>
      </c>
      <c r="C11" s="24"/>
      <c r="D11" s="25">
        <f>SUMIF(PCA!G:G,'Resumo por unidade'!B11,PCA!I:I)</f>
        <v>2000000</v>
      </c>
      <c r="E11" s="31">
        <f>J13</f>
        <v>2000000</v>
      </c>
      <c r="F11" s="32">
        <f t="shared" si="0"/>
        <v>0</v>
      </c>
      <c r="G11" s="12"/>
      <c r="H11" s="35" t="s">
        <v>1046</v>
      </c>
      <c r="I11" s="36">
        <v>3140000</v>
      </c>
      <c r="J11" s="37">
        <v>3140000</v>
      </c>
      <c r="K11" s="12"/>
      <c r="L11" s="12"/>
      <c r="M11" s="12"/>
    </row>
    <row r="12" spans="1:13" ht="18.75" thickBot="1" x14ac:dyDescent="0.3">
      <c r="A12" s="12"/>
      <c r="B12" s="58" t="s">
        <v>740</v>
      </c>
      <c r="C12" s="58"/>
      <c r="D12" s="59">
        <f>SUMIF(PCA!G:G,'Resumo por unidade'!B12,PCA!I:I)</f>
        <v>900000</v>
      </c>
      <c r="E12" s="60">
        <f>J15</f>
        <v>900000</v>
      </c>
      <c r="F12" s="61">
        <f t="shared" si="0"/>
        <v>0</v>
      </c>
      <c r="G12" s="12"/>
      <c r="H12" s="35" t="s">
        <v>1047</v>
      </c>
      <c r="I12" s="36">
        <v>4216179</v>
      </c>
      <c r="J12" s="37">
        <v>4216179</v>
      </c>
      <c r="K12" s="12"/>
      <c r="L12" s="12"/>
      <c r="M12" s="12"/>
    </row>
    <row r="13" spans="1:13" ht="18.75" thickBot="1" x14ac:dyDescent="0.3">
      <c r="A13" s="12"/>
      <c r="B13" s="17" t="s">
        <v>1048</v>
      </c>
      <c r="C13" s="17"/>
      <c r="D13" s="62">
        <f>SUM(D6:D12)</f>
        <v>179558537.74756002</v>
      </c>
      <c r="E13" s="62">
        <f>SUM(E6:E12)</f>
        <v>179558538</v>
      </c>
      <c r="F13" s="63">
        <f t="shared" si="0"/>
        <v>0.25243997573852539</v>
      </c>
      <c r="G13" s="12"/>
      <c r="H13" s="35" t="s">
        <v>1049</v>
      </c>
      <c r="I13" s="36">
        <v>2000000</v>
      </c>
      <c r="J13" s="37">
        <v>2000000</v>
      </c>
      <c r="K13" s="12"/>
      <c r="L13" s="12"/>
      <c r="M13" s="12"/>
    </row>
    <row r="14" spans="1:13" ht="30.75" thickBot="1" x14ac:dyDescent="0.3">
      <c r="A14" s="12"/>
      <c r="B14" s="12"/>
      <c r="C14" s="12"/>
      <c r="D14" s="12"/>
      <c r="E14" s="12"/>
      <c r="F14" s="12"/>
      <c r="G14" s="12"/>
      <c r="H14" s="35" t="s">
        <v>1050</v>
      </c>
      <c r="I14" s="36">
        <v>1000000</v>
      </c>
      <c r="J14" s="37">
        <v>1000000</v>
      </c>
      <c r="K14" s="12"/>
      <c r="L14" s="12"/>
      <c r="M14" s="12"/>
    </row>
    <row r="15" spans="1:13" ht="30.75" thickBot="1" x14ac:dyDescent="0.3">
      <c r="A15" s="12"/>
      <c r="B15" s="12"/>
      <c r="C15" s="12"/>
      <c r="D15" s="15">
        <f>SUM(D17:D28)-SUM(PCA!I:I)+PCA!I7</f>
        <v>0</v>
      </c>
      <c r="E15" s="15">
        <f>SUM(E17:E28)-$J$6</f>
        <v>0</v>
      </c>
      <c r="F15" s="12"/>
      <c r="G15" s="12"/>
      <c r="H15" s="35" t="s">
        <v>1051</v>
      </c>
      <c r="I15" s="36">
        <v>900000</v>
      </c>
      <c r="J15" s="37">
        <v>900000</v>
      </c>
      <c r="K15" s="12"/>
      <c r="L15" s="12"/>
      <c r="M15" s="12"/>
    </row>
    <row r="16" spans="1:13" ht="30.75" thickBot="1" x14ac:dyDescent="0.3">
      <c r="A16" s="12"/>
      <c r="B16" s="17" t="s">
        <v>5</v>
      </c>
      <c r="C16" s="17"/>
      <c r="D16" s="38" t="s">
        <v>1034</v>
      </c>
      <c r="E16" s="39" t="s">
        <v>1035</v>
      </c>
      <c r="F16" s="19" t="s">
        <v>1036</v>
      </c>
      <c r="G16" s="12"/>
      <c r="H16" s="35" t="s">
        <v>1052</v>
      </c>
      <c r="I16" s="36">
        <v>0</v>
      </c>
      <c r="J16" s="37">
        <v>0</v>
      </c>
      <c r="K16" s="12"/>
      <c r="L16" s="12"/>
      <c r="M16" s="12"/>
    </row>
    <row r="17" spans="1:13" ht="18" x14ac:dyDescent="0.25">
      <c r="A17" s="12"/>
      <c r="B17" s="24" t="s">
        <v>26</v>
      </c>
      <c r="C17" s="24"/>
      <c r="D17" s="25">
        <f>SUMIFS(PCA!$I:$I,PCA!$D:$D,B:B)</f>
        <v>75277396.75</v>
      </c>
      <c r="E17" s="25">
        <f t="shared" ref="E17:E26" si="1">J8</f>
        <v>75277397</v>
      </c>
      <c r="F17" s="26">
        <f t="shared" ref="F17:F27" si="2">E17-D17</f>
        <v>0.25</v>
      </c>
      <c r="G17" s="12"/>
      <c r="H17" s="35" t="s">
        <v>1053</v>
      </c>
      <c r="I17" s="36">
        <v>9500000</v>
      </c>
      <c r="J17" s="37">
        <v>9500000</v>
      </c>
      <c r="K17" s="12"/>
      <c r="L17" s="12"/>
      <c r="M17" s="12"/>
    </row>
    <row r="18" spans="1:13" ht="18" x14ac:dyDescent="0.25">
      <c r="A18" s="12"/>
      <c r="B18" s="24" t="s">
        <v>435</v>
      </c>
      <c r="C18" s="24"/>
      <c r="D18" s="25">
        <f>SUMIFS(PCA!$I:$I,PCA!$D:$D,B:B)</f>
        <v>5650000</v>
      </c>
      <c r="E18" s="25">
        <f t="shared" si="1"/>
        <v>5650000</v>
      </c>
      <c r="F18" s="26">
        <f t="shared" si="2"/>
        <v>0</v>
      </c>
      <c r="G18" s="12"/>
      <c r="H18" s="33" t="s">
        <v>1054</v>
      </c>
      <c r="I18" s="40">
        <v>499000</v>
      </c>
      <c r="J18" s="41">
        <v>499000</v>
      </c>
      <c r="K18" s="12"/>
      <c r="L18" s="12"/>
      <c r="M18" s="12"/>
    </row>
    <row r="19" spans="1:13" ht="30" x14ac:dyDescent="0.25">
      <c r="A19" s="12"/>
      <c r="B19" s="24" t="s">
        <v>440</v>
      </c>
      <c r="C19" s="24"/>
      <c r="D19" s="25">
        <f>SUMIFS(PCA!$I:$I,PCA!$D:$D,B:B)</f>
        <v>79579004.037560016</v>
      </c>
      <c r="E19" s="25">
        <f t="shared" si="1"/>
        <v>77375962</v>
      </c>
      <c r="F19" s="26">
        <f t="shared" si="2"/>
        <v>-2203042.0375600159</v>
      </c>
      <c r="G19" s="42"/>
      <c r="H19" s="35" t="s">
        <v>1055</v>
      </c>
      <c r="I19" s="36">
        <v>99000</v>
      </c>
      <c r="J19" s="37">
        <v>99000</v>
      </c>
      <c r="K19" s="12"/>
      <c r="L19" s="12"/>
      <c r="M19" s="12"/>
    </row>
    <row r="20" spans="1:13" ht="18.75" thickBot="1" x14ac:dyDescent="0.3">
      <c r="A20" s="12"/>
      <c r="B20" s="24" t="s">
        <v>646</v>
      </c>
      <c r="C20" s="24"/>
      <c r="D20" s="25">
        <f>SUMIFS(PCA!$I:$I,PCA!$D:$D,B:B)</f>
        <v>2000000</v>
      </c>
      <c r="E20" s="25">
        <f t="shared" si="1"/>
        <v>3140000</v>
      </c>
      <c r="F20" s="26">
        <f t="shared" si="2"/>
        <v>1140000</v>
      </c>
      <c r="G20" s="12"/>
      <c r="H20" s="43" t="s">
        <v>1056</v>
      </c>
      <c r="I20" s="44">
        <v>400000</v>
      </c>
      <c r="J20" s="45">
        <v>400000</v>
      </c>
      <c r="K20" s="12"/>
      <c r="L20" s="12"/>
      <c r="M20" s="12"/>
    </row>
    <row r="21" spans="1:13" ht="15.75" thickBot="1" x14ac:dyDescent="0.3">
      <c r="A21" s="12"/>
      <c r="B21" s="24" t="s">
        <v>658</v>
      </c>
      <c r="C21" s="24"/>
      <c r="D21" s="25">
        <f>SUMIFS(PCA!$I:$I,PCA!$D:$D,B:B)</f>
        <v>3153136.96</v>
      </c>
      <c r="E21" s="25">
        <f t="shared" si="1"/>
        <v>4216179</v>
      </c>
      <c r="F21" s="26">
        <f t="shared" si="2"/>
        <v>1063042.04</v>
      </c>
      <c r="G21" s="12"/>
      <c r="H21" s="12"/>
      <c r="I21" s="12"/>
      <c r="J21" s="12"/>
      <c r="K21" s="12"/>
      <c r="L21" s="12"/>
      <c r="M21" s="12"/>
    </row>
    <row r="22" spans="1:13" ht="15.75" thickBot="1" x14ac:dyDescent="0.3">
      <c r="A22" s="12"/>
      <c r="B22" s="24" t="s">
        <v>691</v>
      </c>
      <c r="C22" s="24"/>
      <c r="D22" s="25">
        <f>SUMIFS(PCA!$I:$I,PCA!$D:$D,B:B)</f>
        <v>2000000</v>
      </c>
      <c r="E22" s="25">
        <f t="shared" si="1"/>
        <v>2000000</v>
      </c>
      <c r="F22" s="26">
        <f t="shared" si="2"/>
        <v>0</v>
      </c>
      <c r="G22" s="12"/>
      <c r="H22" s="12"/>
      <c r="I22" s="15">
        <f>SUMIFS(PCA!I:I,PCA!T:T,"&lt;&gt;",PCA!V:V,"Sim")+SUMIFS('Detalhamento fracionamento'!I:I,'Detalhamento fracionamento'!T:T,"&lt;&gt;",'Detalhamento fracionamento'!U:U,"Sim")-SUM(I24:I212)</f>
        <v>0</v>
      </c>
      <c r="J22" s="12"/>
      <c r="K22" s="12"/>
      <c r="L22" s="12"/>
      <c r="M22" s="12"/>
    </row>
    <row r="23" spans="1:13" ht="16.5" thickBot="1" x14ac:dyDescent="0.3">
      <c r="A23" s="12"/>
      <c r="B23" s="24" t="s">
        <v>713</v>
      </c>
      <c r="C23" s="24"/>
      <c r="D23" s="25">
        <f>SUMIFS(PCA!$I:$I,PCA!$D:$D,B:B)</f>
        <v>1000000</v>
      </c>
      <c r="E23" s="25">
        <f t="shared" si="1"/>
        <v>1000000</v>
      </c>
      <c r="F23" s="26">
        <f t="shared" si="2"/>
        <v>0</v>
      </c>
      <c r="G23" s="12"/>
      <c r="H23" s="46" t="s">
        <v>1057</v>
      </c>
      <c r="I23" s="18" t="s">
        <v>1034</v>
      </c>
      <c r="J23" s="18" t="s">
        <v>1035</v>
      </c>
      <c r="K23" s="19" t="s">
        <v>1036</v>
      </c>
      <c r="L23" s="12"/>
      <c r="M23" s="12"/>
    </row>
    <row r="24" spans="1:13" x14ac:dyDescent="0.25">
      <c r="A24" s="12"/>
      <c r="B24" s="24" t="s">
        <v>739</v>
      </c>
      <c r="C24" s="24"/>
      <c r="D24" s="25">
        <f>SUMIFS(PCA!$I:$I,PCA!$D:$D,B:B)</f>
        <v>900000</v>
      </c>
      <c r="E24" s="25">
        <f t="shared" si="1"/>
        <v>900000</v>
      </c>
      <c r="F24" s="26">
        <f t="shared" si="2"/>
        <v>0</v>
      </c>
      <c r="G24" s="12"/>
      <c r="H24" s="47" t="s">
        <v>1019</v>
      </c>
      <c r="I24" s="25">
        <f>SUMIFS(PCA!I:I,PCA!T:T,'Resumo por unidade'!H:H,PCA!V:V,"Sim")+SUMIFS('Detalhamento fracionamento'!I:I,'Detalhamento fracionamento'!T:T,'Resumo por unidade'!H:H,'Detalhamento fracionamento'!U:U,"Sim")</f>
        <v>86.94</v>
      </c>
      <c r="J24" s="25">
        <v>62725.59</v>
      </c>
      <c r="K24" s="26">
        <f t="shared" ref="K24:K57" si="3">J24-I24</f>
        <v>62638.649999999994</v>
      </c>
      <c r="L24" s="12"/>
      <c r="M24" s="12"/>
    </row>
    <row r="25" spans="1:13" x14ac:dyDescent="0.25">
      <c r="A25" s="12"/>
      <c r="B25" s="24" t="s">
        <v>1058</v>
      </c>
      <c r="C25" s="24"/>
      <c r="D25" s="25">
        <f>SUMIFS(PCA!$I:$I,PCA!$D:$D,B:B)</f>
        <v>0</v>
      </c>
      <c r="E25" s="25">
        <f t="shared" si="1"/>
        <v>0</v>
      </c>
      <c r="F25" s="26">
        <f t="shared" si="2"/>
        <v>0</v>
      </c>
      <c r="G25" s="12"/>
      <c r="H25" s="47" t="s">
        <v>1017</v>
      </c>
      <c r="I25" s="25">
        <f>SUMIFS(PCA!I:I,PCA!T:T,'Resumo por unidade'!H:H,PCA!V:V,"Sim")+SUMIFS('Detalhamento fracionamento'!I:I,'Detalhamento fracionamento'!T:T,'Resumo por unidade'!H:H,'Detalhamento fracionamento'!U:U,"Sim")</f>
        <v>145</v>
      </c>
      <c r="J25" s="25">
        <v>62725.59</v>
      </c>
      <c r="K25" s="26">
        <f t="shared" si="3"/>
        <v>62580.59</v>
      </c>
      <c r="L25" s="12"/>
      <c r="M25" s="12"/>
    </row>
    <row r="26" spans="1:13" x14ac:dyDescent="0.25">
      <c r="A26" s="12"/>
      <c r="B26" s="24" t="s">
        <v>749</v>
      </c>
      <c r="C26" s="24"/>
      <c r="D26" s="25">
        <f>SUMIFS(PCA!$I:$I,PCA!$D:$D,B:B)</f>
        <v>9500000.0000000019</v>
      </c>
      <c r="E26" s="25">
        <f t="shared" si="1"/>
        <v>9500000</v>
      </c>
      <c r="F26" s="26">
        <f t="shared" si="2"/>
        <v>0</v>
      </c>
      <c r="G26" s="12"/>
      <c r="H26" s="47" t="s">
        <v>84</v>
      </c>
      <c r="I26" s="25">
        <f>SUMIFS(PCA!I:I,PCA!T:T,'Resumo por unidade'!H:H,PCA!V:V,"Sim")+SUMIFS('Detalhamento fracionamento'!I:I,'Detalhamento fracionamento'!T:T,'Resumo por unidade'!H:H,'Detalhamento fracionamento'!U:U,"Sim")</f>
        <v>3060.4198708515341</v>
      </c>
      <c r="J26" s="25">
        <v>62725.59</v>
      </c>
      <c r="K26" s="26">
        <f t="shared" si="3"/>
        <v>59665.170129148464</v>
      </c>
      <c r="L26" s="12"/>
      <c r="M26" s="12"/>
    </row>
    <row r="27" spans="1:13" x14ac:dyDescent="0.25">
      <c r="A27" s="12"/>
      <c r="B27" s="24" t="s">
        <v>731</v>
      </c>
      <c r="C27" s="24"/>
      <c r="D27" s="25">
        <f>SUMIFS(PCA!$I:$I,PCA!$D:$D,B:B)</f>
        <v>99000</v>
      </c>
      <c r="E27" s="25">
        <f>J19</f>
        <v>99000</v>
      </c>
      <c r="F27" s="26">
        <f t="shared" si="2"/>
        <v>0</v>
      </c>
      <c r="G27" s="12"/>
      <c r="H27" s="47" t="s">
        <v>236</v>
      </c>
      <c r="I27" s="25">
        <f>SUMIFS(PCA!I:I,PCA!T:T,'Resumo por unidade'!H:H,PCA!V:V,"Sim")+SUMIFS('Detalhamento fracionamento'!I:I,'Detalhamento fracionamento'!T:T,'Resumo por unidade'!H:H,'Detalhamento fracionamento'!U:U,"Sim")</f>
        <v>0</v>
      </c>
      <c r="J27" s="25">
        <v>62725.59</v>
      </c>
      <c r="K27" s="26">
        <f t="shared" si="3"/>
        <v>62725.59</v>
      </c>
      <c r="L27" s="12"/>
      <c r="M27" s="12"/>
    </row>
    <row r="28" spans="1:13" x14ac:dyDescent="0.25">
      <c r="A28" s="12"/>
      <c r="B28" s="24" t="s">
        <v>735</v>
      </c>
      <c r="C28" s="24"/>
      <c r="D28" s="25">
        <f>SUMIFS(PCA!$I:$I,PCA!$D:$D,B:B)</f>
        <v>400000</v>
      </c>
      <c r="E28" s="25">
        <f>J20</f>
        <v>400000</v>
      </c>
      <c r="F28" s="26">
        <f>E28-D28</f>
        <v>0</v>
      </c>
      <c r="G28" s="12"/>
      <c r="H28" s="47" t="s">
        <v>169</v>
      </c>
      <c r="I28" s="25">
        <f>SUMIFS(PCA!I:I,PCA!T:T,'Resumo por unidade'!H:H,PCA!V:V,"Sim")+SUMIFS('Detalhamento fracionamento'!I:I,'Detalhamento fracionamento'!T:T,'Resumo por unidade'!H:H,'Detalhamento fracionamento'!U:U,"Sim")</f>
        <v>0</v>
      </c>
      <c r="J28" s="25">
        <v>62725.59</v>
      </c>
      <c r="K28" s="26">
        <f t="shared" si="3"/>
        <v>62725.59</v>
      </c>
      <c r="L28" s="12"/>
      <c r="M28" s="12"/>
    </row>
    <row r="29" spans="1:13" x14ac:dyDescent="0.25">
      <c r="A29" s="12"/>
      <c r="B29" s="12"/>
      <c r="C29" s="12"/>
      <c r="D29" s="12"/>
      <c r="E29" s="12"/>
      <c r="F29" s="12"/>
      <c r="G29" s="12"/>
      <c r="H29" s="47" t="s">
        <v>1012</v>
      </c>
      <c r="I29" s="25">
        <f>SUMIFS(PCA!I:I,PCA!T:T,'Resumo por unidade'!H:H,PCA!V:V,"Sim")+SUMIFS('Detalhamento fracionamento'!I:I,'Detalhamento fracionamento'!T:T,'Resumo por unidade'!H:H,'Detalhamento fracionamento'!U:U,"Sim")</f>
        <v>233.39999999999998</v>
      </c>
      <c r="J29" s="25">
        <v>62725.59</v>
      </c>
      <c r="K29" s="26">
        <f t="shared" si="3"/>
        <v>62492.189999999995</v>
      </c>
      <c r="L29" s="12"/>
      <c r="M29" s="12"/>
    </row>
    <row r="30" spans="1:13" x14ac:dyDescent="0.25">
      <c r="A30" s="12"/>
      <c r="B30" s="12"/>
      <c r="C30" s="12"/>
      <c r="D30" s="12"/>
      <c r="E30" s="12"/>
      <c r="F30" s="12"/>
      <c r="G30" s="12"/>
      <c r="H30" s="47" t="s">
        <v>185</v>
      </c>
      <c r="I30" s="25">
        <f>SUMIFS(PCA!I:I,PCA!T:T,'Resumo por unidade'!H:H,PCA!V:V,"Sim")+SUMIFS('Detalhamento fracionamento'!I:I,'Detalhamento fracionamento'!T:T,'Resumo por unidade'!H:H,'Detalhamento fracionamento'!U:U,"Sim")</f>
        <v>0</v>
      </c>
      <c r="J30" s="25">
        <v>62725.59</v>
      </c>
      <c r="K30" s="26">
        <f t="shared" si="3"/>
        <v>62725.59</v>
      </c>
      <c r="L30" s="12"/>
      <c r="M30" s="12"/>
    </row>
    <row r="31" spans="1:13" x14ac:dyDescent="0.25">
      <c r="A31" s="12"/>
      <c r="B31" s="12"/>
      <c r="C31" s="12"/>
      <c r="D31" s="12"/>
      <c r="E31" s="12"/>
      <c r="F31" s="12"/>
      <c r="G31" s="12"/>
      <c r="H31" s="47" t="s">
        <v>960</v>
      </c>
      <c r="I31" s="25">
        <f>SUMIFS(PCA!I:I,PCA!T:T,'Resumo por unidade'!H:H,PCA!V:V,"Sim")+SUMIFS('Detalhamento fracionamento'!I:I,'Detalhamento fracionamento'!T:T,'Resumo por unidade'!H:H,'Detalhamento fracionamento'!U:U,"Sim")</f>
        <v>12992.679471812447</v>
      </c>
      <c r="J31" s="25">
        <v>62725.59</v>
      </c>
      <c r="K31" s="26">
        <f t="shared" si="3"/>
        <v>49732.910528187553</v>
      </c>
      <c r="L31" s="12"/>
      <c r="M31" s="12"/>
    </row>
    <row r="32" spans="1:13" x14ac:dyDescent="0.25">
      <c r="A32" s="12"/>
      <c r="B32" s="12"/>
      <c r="C32" s="12"/>
      <c r="D32" s="12"/>
      <c r="E32" s="12"/>
      <c r="F32" s="12"/>
      <c r="G32" s="12"/>
      <c r="H32" s="47" t="s">
        <v>1021</v>
      </c>
      <c r="I32" s="25">
        <f>SUMIFS(PCA!I:I,PCA!T:T,'Resumo por unidade'!H:H,PCA!V:V,"Sim")+SUMIFS('Detalhamento fracionamento'!I:I,'Detalhamento fracionamento'!T:T,'Resumo por unidade'!H:H,'Detalhamento fracionamento'!U:U,"Sim")</f>
        <v>586.80999999999995</v>
      </c>
      <c r="J32" s="25">
        <v>62725.59</v>
      </c>
      <c r="K32" s="26">
        <f t="shared" si="3"/>
        <v>62138.78</v>
      </c>
      <c r="L32" s="12"/>
      <c r="M32" s="12"/>
    </row>
    <row r="33" spans="1:13" x14ac:dyDescent="0.25">
      <c r="A33" s="12"/>
      <c r="B33" s="12"/>
      <c r="C33" s="12"/>
      <c r="D33" s="12"/>
      <c r="E33" s="12"/>
      <c r="F33" s="12"/>
      <c r="G33" s="12"/>
      <c r="H33" s="47" t="s">
        <v>965</v>
      </c>
      <c r="I33" s="25">
        <f>SUMIFS(PCA!I:I,PCA!T:T,'Resumo por unidade'!H:H,PCA!V:V,"Sim")+SUMIFS('Detalhamento fracionamento'!I:I,'Detalhamento fracionamento'!T:T,'Resumo por unidade'!H:H,'Detalhamento fracionamento'!U:U,"Sim")</f>
        <v>3092.5400625829698</v>
      </c>
      <c r="J33" s="25">
        <v>62725.59</v>
      </c>
      <c r="K33" s="26">
        <f t="shared" si="3"/>
        <v>59633.049937417025</v>
      </c>
      <c r="L33" s="12"/>
      <c r="M33" s="12"/>
    </row>
    <row r="34" spans="1:13" x14ac:dyDescent="0.25">
      <c r="A34" s="12"/>
      <c r="B34" s="12"/>
      <c r="C34" s="12"/>
      <c r="D34" s="12"/>
      <c r="E34" s="12"/>
      <c r="F34" s="12"/>
      <c r="G34" s="12"/>
      <c r="H34" s="47" t="s">
        <v>1015</v>
      </c>
      <c r="I34" s="25">
        <f>SUMIFS(PCA!I:I,PCA!T:T,'Resumo por unidade'!H:H,PCA!V:V,"Sim")+SUMIFS('Detalhamento fracionamento'!I:I,'Detalhamento fracionamento'!T:T,'Resumo por unidade'!H:H,'Detalhamento fracionamento'!U:U,"Sim")</f>
        <v>144</v>
      </c>
      <c r="J34" s="25">
        <v>62725.59</v>
      </c>
      <c r="K34" s="26">
        <f t="shared" si="3"/>
        <v>62581.59</v>
      </c>
      <c r="L34" s="12"/>
      <c r="M34" s="12"/>
    </row>
    <row r="35" spans="1:13" x14ac:dyDescent="0.25">
      <c r="A35" s="12"/>
      <c r="B35" s="12"/>
      <c r="C35" s="12"/>
      <c r="D35" s="12"/>
      <c r="E35" s="12"/>
      <c r="F35" s="12"/>
      <c r="G35" s="12"/>
      <c r="H35" s="47" t="s">
        <v>181</v>
      </c>
      <c r="I35" s="25">
        <f>SUMIFS(PCA!I:I,PCA!T:T,'Resumo por unidade'!H:H,PCA!V:V,"Sim")+SUMIFS('Detalhamento fracionamento'!I:I,'Detalhamento fracionamento'!T:T,'Resumo por unidade'!H:H,'Detalhamento fracionamento'!U:U,"Sim")</f>
        <v>0</v>
      </c>
      <c r="J35" s="25">
        <v>62725.59</v>
      </c>
      <c r="K35" s="26">
        <f t="shared" si="3"/>
        <v>62725.59</v>
      </c>
      <c r="L35" s="12"/>
      <c r="M35" s="12"/>
    </row>
    <row r="36" spans="1:13" x14ac:dyDescent="0.25">
      <c r="A36" s="12"/>
      <c r="B36" s="12"/>
      <c r="C36" s="12"/>
      <c r="D36" s="12"/>
      <c r="E36" s="12"/>
      <c r="F36" s="12"/>
      <c r="G36" s="12"/>
      <c r="H36" s="47" t="s">
        <v>880</v>
      </c>
      <c r="I36" s="25">
        <f>SUMIFS(PCA!I:I,PCA!T:T,'Resumo por unidade'!H:H,PCA!V:V,"Sim")+SUMIFS('Detalhamento fracionamento'!I:I,'Detalhamento fracionamento'!T:T,'Resumo por unidade'!H:H,'Detalhamento fracionamento'!U:U,"Sim")</f>
        <v>6459.4393869887517</v>
      </c>
      <c r="J36" s="25">
        <v>62725.59</v>
      </c>
      <c r="K36" s="26">
        <f t="shared" si="3"/>
        <v>56266.150613011247</v>
      </c>
      <c r="L36" s="12"/>
      <c r="M36" s="12"/>
    </row>
    <row r="37" spans="1:13" x14ac:dyDescent="0.25">
      <c r="A37" s="12"/>
      <c r="B37" s="12"/>
      <c r="C37" s="12"/>
      <c r="D37" s="12"/>
      <c r="E37" s="12"/>
      <c r="F37" s="12"/>
      <c r="G37" s="12"/>
      <c r="H37" s="47" t="s">
        <v>994</v>
      </c>
      <c r="I37" s="25">
        <f>SUMIFS(PCA!I:I,PCA!T:T,'Resumo por unidade'!H:H,PCA!V:V,"Sim")+SUMIFS('Detalhamento fracionamento'!I:I,'Detalhamento fracionamento'!T:T,'Resumo por unidade'!H:H,'Detalhamento fracionamento'!U:U,"Sim")</f>
        <v>791</v>
      </c>
      <c r="J37" s="25">
        <v>62725.59</v>
      </c>
      <c r="K37" s="26">
        <f t="shared" si="3"/>
        <v>61934.59</v>
      </c>
      <c r="L37" s="12"/>
      <c r="M37" s="12"/>
    </row>
    <row r="38" spans="1:13" x14ac:dyDescent="0.25">
      <c r="A38" s="12"/>
      <c r="B38" s="12"/>
      <c r="C38" s="12"/>
      <c r="D38" s="12"/>
      <c r="E38" s="12"/>
      <c r="F38" s="12"/>
      <c r="G38" s="12"/>
      <c r="H38" s="47" t="s">
        <v>117</v>
      </c>
      <c r="I38" s="25">
        <f>SUMIFS(PCA!I:I,PCA!T:T,'Resumo por unidade'!H:H,PCA!V:V,"Sim")+SUMIFS('Detalhamento fracionamento'!I:I,'Detalhamento fracionamento'!T:T,'Resumo por unidade'!H:H,'Detalhamento fracionamento'!U:U,"Sim")</f>
        <v>0</v>
      </c>
      <c r="J38" s="25">
        <v>62725.59</v>
      </c>
      <c r="K38" s="26">
        <f t="shared" si="3"/>
        <v>62725.59</v>
      </c>
      <c r="L38" s="12"/>
      <c r="M38" s="12"/>
    </row>
    <row r="39" spans="1:13" x14ac:dyDescent="0.25">
      <c r="A39" s="12"/>
      <c r="B39" s="12"/>
      <c r="C39" s="12"/>
      <c r="D39" s="12"/>
      <c r="E39" s="12"/>
      <c r="F39" s="12"/>
      <c r="G39" s="12"/>
      <c r="H39" s="47" t="s">
        <v>639</v>
      </c>
      <c r="I39" s="25">
        <f>SUMIFS(PCA!I:I,PCA!T:T,'Resumo por unidade'!H:H,PCA!V:V,"Sim")+SUMIFS('Detalhamento fracionamento'!I:I,'Detalhamento fracionamento'!T:T,'Resumo por unidade'!H:H,'Detalhamento fracionamento'!U:U,"Sim")</f>
        <v>0</v>
      </c>
      <c r="J39" s="25">
        <v>62725.59</v>
      </c>
      <c r="K39" s="26">
        <f t="shared" si="3"/>
        <v>62725.59</v>
      </c>
      <c r="L39" s="12"/>
      <c r="M39" s="12"/>
    </row>
    <row r="40" spans="1:13" x14ac:dyDescent="0.25">
      <c r="A40" s="12"/>
      <c r="B40" s="12"/>
      <c r="C40" s="12"/>
      <c r="D40" s="12"/>
      <c r="E40" s="12"/>
      <c r="F40" s="12"/>
      <c r="G40" s="12"/>
      <c r="H40" s="47" t="s">
        <v>307</v>
      </c>
      <c r="I40" s="25">
        <f>SUMIFS(PCA!I:I,PCA!T:T,'Resumo por unidade'!H:H,PCA!V:V,"Sim")+SUMIFS('Detalhamento fracionamento'!I:I,'Detalhamento fracionamento'!T:T,'Resumo por unidade'!H:H,'Detalhamento fracionamento'!U:U,"Sim")</f>
        <v>0</v>
      </c>
      <c r="J40" s="25">
        <v>62725.59</v>
      </c>
      <c r="K40" s="26">
        <f t="shared" si="3"/>
        <v>62725.59</v>
      </c>
      <c r="L40" s="12"/>
      <c r="M40" s="12"/>
    </row>
    <row r="41" spans="1:13" x14ac:dyDescent="0.25">
      <c r="A41" s="12"/>
      <c r="B41" s="12"/>
      <c r="C41" s="12"/>
      <c r="D41" s="12"/>
      <c r="E41" s="12"/>
      <c r="F41" s="12"/>
      <c r="G41" s="12"/>
      <c r="H41" s="47" t="s">
        <v>970</v>
      </c>
      <c r="I41" s="25">
        <f>SUMIFS(PCA!I:I,PCA!T:T,'Resumo por unidade'!H:H,PCA!V:V,"Sim")+SUMIFS('Detalhamento fracionamento'!I:I,'Detalhamento fracionamento'!T:T,'Resumo por unidade'!H:H,'Detalhamento fracionamento'!U:U,"Sim")</f>
        <v>339.65282099915999</v>
      </c>
      <c r="J41" s="25">
        <v>62725.59</v>
      </c>
      <c r="K41" s="26">
        <f t="shared" si="3"/>
        <v>62385.937179000837</v>
      </c>
      <c r="L41" s="12"/>
      <c r="M41" s="12"/>
    </row>
    <row r="42" spans="1:13" x14ac:dyDescent="0.25">
      <c r="A42" s="12"/>
      <c r="B42" s="12"/>
      <c r="C42" s="12"/>
      <c r="D42" s="12"/>
      <c r="E42" s="12"/>
      <c r="F42" s="12"/>
      <c r="G42" s="12"/>
      <c r="H42" s="47" t="s">
        <v>205</v>
      </c>
      <c r="I42" s="25">
        <f>SUMIFS(PCA!I:I,PCA!T:T,'Resumo por unidade'!H:H,PCA!V:V,"Sim")+SUMIFS('Detalhamento fracionamento'!I:I,'Detalhamento fracionamento'!T:T,'Resumo por unidade'!H:H,'Detalhamento fracionamento'!U:U,"Sim")</f>
        <v>0</v>
      </c>
      <c r="J42" s="25">
        <v>62725.59</v>
      </c>
      <c r="K42" s="26">
        <f t="shared" si="3"/>
        <v>62725.59</v>
      </c>
      <c r="L42" s="12"/>
      <c r="M42" s="12"/>
    </row>
    <row r="43" spans="1:13" x14ac:dyDescent="0.25">
      <c r="A43" s="12"/>
      <c r="B43" s="12"/>
      <c r="C43" s="12"/>
      <c r="D43" s="12"/>
      <c r="E43" s="12"/>
      <c r="F43" s="12"/>
      <c r="G43" s="12"/>
      <c r="H43" s="47" t="s">
        <v>230</v>
      </c>
      <c r="I43" s="25">
        <f>SUMIFS(PCA!I:I,PCA!T:T,'Resumo por unidade'!H:H,PCA!V:V,"Sim")+SUMIFS('Detalhamento fracionamento'!I:I,'Detalhamento fracionamento'!T:T,'Resumo por unidade'!H:H,'Detalhamento fracionamento'!U:U,"Sim")</f>
        <v>0</v>
      </c>
      <c r="J43" s="25">
        <v>62725.59</v>
      </c>
      <c r="K43" s="26">
        <f t="shared" si="3"/>
        <v>62725.59</v>
      </c>
      <c r="L43" s="12"/>
      <c r="M43" s="12"/>
    </row>
    <row r="44" spans="1:13" x14ac:dyDescent="0.25">
      <c r="A44" s="12"/>
      <c r="B44" s="12"/>
      <c r="C44" s="12"/>
      <c r="D44" s="12"/>
      <c r="E44" s="12"/>
      <c r="F44" s="12"/>
      <c r="G44" s="12"/>
      <c r="H44" s="47" t="s">
        <v>968</v>
      </c>
      <c r="I44" s="25">
        <f>SUMIFS(PCA!I:I,PCA!T:T,'Resumo por unidade'!H:H,PCA!V:V,"Sim")+SUMIFS('Detalhamento fracionamento'!I:I,'Detalhamento fracionamento'!T:T,'Resumo por unidade'!H:H,'Detalhamento fracionamento'!U:U,"Sim")</f>
        <v>2520.1676852043397</v>
      </c>
      <c r="J44" s="25">
        <v>62725.59</v>
      </c>
      <c r="K44" s="26">
        <f t="shared" si="3"/>
        <v>60205.422314795658</v>
      </c>
      <c r="L44" s="12"/>
      <c r="M44" s="12"/>
    </row>
    <row r="45" spans="1:13" x14ac:dyDescent="0.25">
      <c r="A45" s="12"/>
      <c r="B45" s="12"/>
      <c r="C45" s="12"/>
      <c r="D45" s="12"/>
      <c r="E45" s="12"/>
      <c r="F45" s="12"/>
      <c r="G45" s="12"/>
      <c r="H45" s="47" t="s">
        <v>964</v>
      </c>
      <c r="I45" s="25">
        <f>SUMIFS(PCA!I:I,PCA!T:T,'Resumo por unidade'!H:H,PCA!V:V,"Sim")+SUMIFS('Detalhamento fracionamento'!I:I,'Detalhamento fracionamento'!T:T,'Resumo por unidade'!H:H,'Detalhamento fracionamento'!U:U,"Sim")</f>
        <v>4222.4599374170302</v>
      </c>
      <c r="J45" s="25">
        <v>62725.59</v>
      </c>
      <c r="K45" s="26">
        <f t="shared" si="3"/>
        <v>58503.130062582968</v>
      </c>
      <c r="L45" s="12"/>
      <c r="M45" s="12"/>
    </row>
    <row r="46" spans="1:13" x14ac:dyDescent="0.25">
      <c r="A46" s="12"/>
      <c r="B46" s="12"/>
      <c r="C46" s="12"/>
      <c r="D46" s="12"/>
      <c r="E46" s="12"/>
      <c r="F46" s="12"/>
      <c r="G46" s="12"/>
      <c r="H46" s="47" t="s">
        <v>917</v>
      </c>
      <c r="I46" s="25">
        <f>SUMIFS(PCA!I:I,PCA!T:T,'Resumo por unidade'!H:H,PCA!V:V,"Sim")+SUMIFS('Detalhamento fracionamento'!I:I,'Detalhamento fracionamento'!T:T,'Resumo por unidade'!H:H,'Detalhamento fracionamento'!U:U,"Sim")</f>
        <v>16812.72</v>
      </c>
      <c r="J46" s="25">
        <v>62725.59</v>
      </c>
      <c r="K46" s="26">
        <f t="shared" si="3"/>
        <v>45912.869999999995</v>
      </c>
      <c r="L46" s="12"/>
      <c r="M46" s="12"/>
    </row>
    <row r="47" spans="1:13" x14ac:dyDescent="0.25">
      <c r="A47" s="12"/>
      <c r="B47" s="12"/>
      <c r="C47" s="12"/>
      <c r="D47" s="12"/>
      <c r="E47" s="12"/>
      <c r="F47" s="12"/>
      <c r="G47" s="12"/>
      <c r="H47" s="47" t="s">
        <v>962</v>
      </c>
      <c r="I47" s="25">
        <f>SUMIFS(PCA!I:I,PCA!T:T,'Resumo por unidade'!H:H,PCA!V:V,"Sim")+SUMIFS('Detalhamento fracionamento'!I:I,'Detalhamento fracionamento'!T:T,'Resumo por unidade'!H:H,'Detalhamento fracionamento'!U:U,"Sim")</f>
        <v>7962.6014217556367</v>
      </c>
      <c r="J47" s="25">
        <v>62725.59</v>
      </c>
      <c r="K47" s="26">
        <f t="shared" si="3"/>
        <v>54762.98857824436</v>
      </c>
      <c r="L47" s="12"/>
      <c r="M47" s="12"/>
    </row>
    <row r="48" spans="1:13" x14ac:dyDescent="0.25">
      <c r="A48" s="12"/>
      <c r="B48" s="12"/>
      <c r="C48" s="12"/>
      <c r="D48" s="12"/>
      <c r="E48" s="12"/>
      <c r="F48" s="12"/>
      <c r="G48" s="12"/>
      <c r="H48" s="47" t="s">
        <v>1025</v>
      </c>
      <c r="I48" s="25">
        <f>SUMIFS(PCA!I:I,PCA!T:T,'Resumo por unidade'!H:H,PCA!V:V,"Sim")+SUMIFS('Detalhamento fracionamento'!I:I,'Detalhamento fracionamento'!T:T,'Resumo por unidade'!H:H,'Detalhamento fracionamento'!U:U,"Sim")</f>
        <v>34.08</v>
      </c>
      <c r="J48" s="25">
        <v>62725.59</v>
      </c>
      <c r="K48" s="26">
        <f t="shared" si="3"/>
        <v>62691.509999999995</v>
      </c>
      <c r="L48" s="12"/>
      <c r="M48" s="12"/>
    </row>
    <row r="49" spans="1:13" x14ac:dyDescent="0.25">
      <c r="A49" s="12"/>
      <c r="B49" s="12"/>
      <c r="C49" s="12"/>
      <c r="D49" s="12"/>
      <c r="E49" s="12"/>
      <c r="F49" s="12"/>
      <c r="G49" s="12"/>
      <c r="H49" s="47" t="s">
        <v>1010</v>
      </c>
      <c r="I49" s="25">
        <f>SUMIFS(PCA!I:I,PCA!T:T,'Resumo por unidade'!H:H,PCA!V:V,"Sim")+SUMIFS('Detalhamento fracionamento'!I:I,'Detalhamento fracionamento'!T:T,'Resumo por unidade'!H:H,'Detalhamento fracionamento'!U:U,"Sim")</f>
        <v>1030.5</v>
      </c>
      <c r="J49" s="25">
        <v>62725.59</v>
      </c>
      <c r="K49" s="26">
        <f t="shared" si="3"/>
        <v>61695.09</v>
      </c>
      <c r="L49" s="12"/>
      <c r="M49" s="12"/>
    </row>
    <row r="50" spans="1:13" x14ac:dyDescent="0.25">
      <c r="A50" s="12"/>
      <c r="B50" s="12"/>
      <c r="C50" s="12"/>
      <c r="D50" s="12"/>
      <c r="E50" s="12"/>
      <c r="F50" s="12"/>
      <c r="G50" s="12"/>
      <c r="H50" s="47" t="s">
        <v>641</v>
      </c>
      <c r="I50" s="25">
        <f>SUMIFS(PCA!I:I,PCA!T:T,'Resumo por unidade'!H:H,PCA!V:V,"Sim")+SUMIFS('Detalhamento fracionamento'!I:I,'Detalhamento fracionamento'!T:T,'Resumo por unidade'!H:H,'Detalhamento fracionamento'!U:U,"Sim")</f>
        <v>0</v>
      </c>
      <c r="J50" s="25">
        <v>62725.59</v>
      </c>
      <c r="K50" s="26">
        <f t="shared" si="3"/>
        <v>62725.59</v>
      </c>
      <c r="L50" s="12"/>
      <c r="M50" s="12"/>
    </row>
    <row r="51" spans="1:13" x14ac:dyDescent="0.25">
      <c r="A51" s="12"/>
      <c r="B51" s="12"/>
      <c r="C51" s="12"/>
      <c r="D51" s="12"/>
      <c r="E51" s="12"/>
      <c r="F51" s="12"/>
      <c r="G51" s="12"/>
      <c r="H51" s="47" t="s">
        <v>60</v>
      </c>
      <c r="I51" s="25">
        <f>SUMIFS(PCA!I:I,PCA!T:T,'Resumo por unidade'!H:H,PCA!V:V,"Sim")+SUMIFS('Detalhamento fracionamento'!I:I,'Detalhamento fracionamento'!T:T,'Resumo por unidade'!H:H,'Detalhamento fracionamento'!U:U,"Sim")</f>
        <v>0</v>
      </c>
      <c r="J51" s="25">
        <v>62725.59</v>
      </c>
      <c r="K51" s="26">
        <f t="shared" si="3"/>
        <v>62725.59</v>
      </c>
      <c r="L51" s="12"/>
      <c r="M51" s="12"/>
    </row>
    <row r="52" spans="1:13" x14ac:dyDescent="0.25">
      <c r="A52" s="12"/>
      <c r="B52" s="12"/>
      <c r="C52" s="12"/>
      <c r="D52" s="12"/>
      <c r="E52" s="12"/>
      <c r="F52" s="12"/>
      <c r="G52" s="12"/>
      <c r="H52" s="47" t="s">
        <v>1032</v>
      </c>
      <c r="I52" s="25">
        <f>SUMIFS(PCA!I:I,PCA!T:T,'Resumo por unidade'!H:H,PCA!V:V,"Sim")+SUMIFS('Detalhamento fracionamento'!I:I,'Detalhamento fracionamento'!T:T,'Resumo por unidade'!H:H,'Detalhamento fracionamento'!U:U,"Sim")</f>
        <v>170.7</v>
      </c>
      <c r="J52" s="25">
        <v>62725.59</v>
      </c>
      <c r="K52" s="26">
        <f t="shared" ref="K52" si="4">J52-I52</f>
        <v>62554.89</v>
      </c>
      <c r="L52" s="12"/>
      <c r="M52" s="12"/>
    </row>
    <row r="53" spans="1:13" x14ac:dyDescent="0.25">
      <c r="A53" s="12"/>
      <c r="B53" s="12"/>
      <c r="C53" s="12"/>
      <c r="D53" s="12"/>
      <c r="E53" s="12"/>
      <c r="F53" s="12"/>
      <c r="G53" s="12"/>
      <c r="H53" s="47" t="s">
        <v>372</v>
      </c>
      <c r="I53" s="25">
        <f>SUMIFS(PCA!I:I,PCA!T:T,'Resumo por unidade'!H:H,PCA!V:V,"Sim")+SUMIFS('Detalhamento fracionamento'!I:I,'Detalhamento fracionamento'!T:T,'Resumo por unidade'!H:H,'Detalhamento fracionamento'!U:U,"Sim")</f>
        <v>0</v>
      </c>
      <c r="J53" s="25">
        <v>62725.59</v>
      </c>
      <c r="K53" s="26">
        <f t="shared" si="3"/>
        <v>62725.59</v>
      </c>
      <c r="L53" s="12"/>
      <c r="M53" s="12"/>
    </row>
    <row r="54" spans="1:13" x14ac:dyDescent="0.25">
      <c r="A54" s="12"/>
      <c r="B54" s="12"/>
      <c r="C54" s="12"/>
      <c r="D54" s="12"/>
      <c r="E54" s="12"/>
      <c r="F54" s="12"/>
      <c r="G54" s="12"/>
      <c r="H54" s="47" t="s">
        <v>977</v>
      </c>
      <c r="I54" s="25">
        <f>SUMIFS(PCA!I:I,PCA!T:T,'Resumo por unidade'!H:H,PCA!V:V,"Sim")+SUMIFS('Detalhamento fracionamento'!I:I,'Detalhamento fracionamento'!T:T,'Resumo por unidade'!H:H,'Detalhamento fracionamento'!U:U,"Sim")</f>
        <v>2077</v>
      </c>
      <c r="J54" s="25">
        <v>62725.59</v>
      </c>
      <c r="K54" s="26">
        <f t="shared" si="3"/>
        <v>60648.59</v>
      </c>
      <c r="L54" s="12"/>
      <c r="M54" s="12"/>
    </row>
    <row r="55" spans="1:13" x14ac:dyDescent="0.25">
      <c r="A55" s="12"/>
      <c r="B55" s="12"/>
      <c r="C55" s="12"/>
      <c r="D55" s="12"/>
      <c r="E55" s="12"/>
      <c r="F55" s="12"/>
      <c r="G55" s="12"/>
      <c r="H55" s="47" t="s">
        <v>963</v>
      </c>
      <c r="I55" s="25">
        <f>SUMIFS(PCA!I:I,PCA!T:T,'Resumo por unidade'!H:H,PCA!V:V,"Sim")+SUMIFS('Detalhamento fracionamento'!I:I,'Detalhamento fracionamento'!T:T,'Resumo por unidade'!H:H,'Detalhamento fracionamento'!U:U,"Sim")</f>
        <v>4883.1478430329926</v>
      </c>
      <c r="J55" s="25">
        <v>62725.59</v>
      </c>
      <c r="K55" s="26">
        <f t="shared" si="3"/>
        <v>57842.442156967001</v>
      </c>
      <c r="L55" s="12"/>
      <c r="M55" s="12"/>
    </row>
    <row r="56" spans="1:13" x14ac:dyDescent="0.25">
      <c r="A56" s="12"/>
      <c r="B56" s="12"/>
      <c r="C56" s="12"/>
      <c r="D56" s="12"/>
      <c r="E56" s="12"/>
      <c r="F56" s="12"/>
      <c r="G56" s="12"/>
      <c r="H56" s="47" t="s">
        <v>933</v>
      </c>
      <c r="I56" s="25">
        <f>SUMIFS(PCA!I:I,PCA!T:T,'Resumo por unidade'!H:H,PCA!V:V,"Sim")+SUMIFS('Detalhamento fracionamento'!I:I,'Detalhamento fracionamento'!T:T,'Resumo por unidade'!H:H,'Detalhamento fracionamento'!U:U,"Sim")</f>
        <v>0</v>
      </c>
      <c r="J56" s="25">
        <v>62725.59</v>
      </c>
      <c r="K56" s="26">
        <f t="shared" ref="K56" si="5">J56-I56</f>
        <v>62725.59</v>
      </c>
      <c r="L56" s="12"/>
      <c r="M56" s="12"/>
    </row>
    <row r="57" spans="1:13" x14ac:dyDescent="0.25">
      <c r="A57" s="12"/>
      <c r="B57" s="12"/>
      <c r="C57" s="12"/>
      <c r="D57" s="12"/>
      <c r="E57" s="12"/>
      <c r="F57" s="12"/>
      <c r="G57" s="12"/>
      <c r="H57" s="47" t="s">
        <v>92</v>
      </c>
      <c r="I57" s="25">
        <f>SUMIFS(PCA!I:I,PCA!T:T,'Resumo por unidade'!H:H,PCA!V:V,"Sim")+SUMIFS('Detalhamento fracionamento'!I:I,'Detalhamento fracionamento'!T:T,'Resumo por unidade'!H:H,'Detalhamento fracionamento'!U:U,"Sim")</f>
        <v>0</v>
      </c>
      <c r="J57" s="25">
        <v>62725.59</v>
      </c>
      <c r="K57" s="26">
        <f t="shared" si="3"/>
        <v>62725.59</v>
      </c>
      <c r="L57" s="12"/>
      <c r="M57" s="12"/>
    </row>
    <row r="58" spans="1:13" x14ac:dyDescent="0.25">
      <c r="A58" s="12"/>
      <c r="B58" s="12"/>
      <c r="C58" s="12"/>
      <c r="D58" s="12"/>
      <c r="E58" s="12"/>
      <c r="F58" s="12"/>
      <c r="G58" s="12"/>
      <c r="H58" s="47" t="s">
        <v>88</v>
      </c>
      <c r="I58" s="25">
        <f>SUMIFS(PCA!I:I,PCA!T:T,'Resumo por unidade'!H:H,PCA!V:V,"Sim")+SUMIFS('Detalhamento fracionamento'!I:I,'Detalhamento fracionamento'!T:T,'Resumo por unidade'!H:H,'Detalhamento fracionamento'!U:U,"Sim")</f>
        <v>14050</v>
      </c>
      <c r="J58" s="25">
        <v>62725.59</v>
      </c>
      <c r="K58" s="26">
        <f t="shared" ref="K58:K89" si="6">J58-I58</f>
        <v>48675.59</v>
      </c>
      <c r="L58" s="12"/>
      <c r="M58" s="12"/>
    </row>
    <row r="59" spans="1:13" x14ac:dyDescent="0.25">
      <c r="A59" s="12"/>
      <c r="B59" s="12"/>
      <c r="C59" s="12"/>
      <c r="D59" s="12"/>
      <c r="E59" s="12"/>
      <c r="F59" s="12"/>
      <c r="G59" s="12"/>
      <c r="H59" s="47" t="s">
        <v>875</v>
      </c>
      <c r="I59" s="25">
        <f>SUMIFS(PCA!I:I,PCA!T:T,'Resumo por unidade'!H:H,PCA!V:V,"Sim")+SUMIFS('Detalhamento fracionamento'!I:I,'Detalhamento fracionamento'!T:T,'Resumo por unidade'!H:H,'Detalhamento fracionamento'!U:U,"Sim")</f>
        <v>5258</v>
      </c>
      <c r="J59" s="25">
        <v>62725.59</v>
      </c>
      <c r="K59" s="26">
        <f t="shared" si="6"/>
        <v>57467.59</v>
      </c>
      <c r="L59" s="12"/>
      <c r="M59" s="12"/>
    </row>
    <row r="60" spans="1:13" x14ac:dyDescent="0.25">
      <c r="A60" s="12"/>
      <c r="B60" s="12"/>
      <c r="C60" s="12"/>
      <c r="D60" s="12"/>
      <c r="E60" s="12"/>
      <c r="F60" s="12"/>
      <c r="G60" s="12"/>
      <c r="H60" s="47" t="s">
        <v>1023</v>
      </c>
      <c r="I60" s="25">
        <f>SUMIFS(PCA!I:I,PCA!T:T,'Resumo por unidade'!H:H,PCA!V:V,"Sim")+SUMIFS('Detalhamento fracionamento'!I:I,'Detalhamento fracionamento'!T:T,'Resumo por unidade'!H:H,'Detalhamento fracionamento'!U:U,"Sim")</f>
        <v>119.36</v>
      </c>
      <c r="J60" s="25">
        <v>62725.59</v>
      </c>
      <c r="K60" s="26">
        <f t="shared" si="6"/>
        <v>62606.229999999996</v>
      </c>
      <c r="L60" s="12"/>
      <c r="M60" s="12"/>
    </row>
    <row r="61" spans="1:13" x14ac:dyDescent="0.25">
      <c r="A61" s="12"/>
      <c r="B61" s="12"/>
      <c r="C61" s="12"/>
      <c r="D61" s="12"/>
      <c r="E61" s="12"/>
      <c r="F61" s="12"/>
      <c r="G61" s="12"/>
      <c r="H61" s="47" t="s">
        <v>966</v>
      </c>
      <c r="I61" s="25">
        <f>SUMIFS(PCA!I:I,PCA!T:T,'Resumo por unidade'!H:H,PCA!V:V,"Sim")+SUMIFS('Detalhamento fracionamento'!I:I,'Detalhamento fracionamento'!T:T,'Resumo por unidade'!H:H,'Detalhamento fracionamento'!U:U,"Sim")</f>
        <v>13959.385793416741</v>
      </c>
      <c r="J61" s="25">
        <v>62725.59</v>
      </c>
      <c r="K61" s="26">
        <f t="shared" si="6"/>
        <v>48766.204206583257</v>
      </c>
      <c r="L61" s="12"/>
      <c r="M61" s="12"/>
    </row>
    <row r="62" spans="1:13" x14ac:dyDescent="0.25">
      <c r="A62" s="12"/>
      <c r="B62" s="12"/>
      <c r="C62" s="12"/>
      <c r="D62" s="12"/>
      <c r="E62" s="12"/>
      <c r="F62" s="12"/>
      <c r="G62" s="12"/>
      <c r="H62" s="47" t="s">
        <v>1059</v>
      </c>
      <c r="I62" s="25">
        <f>SUMIFS(PCA!I:I,PCA!T:T,'Resumo por unidade'!H:H,PCA!V:V,"Sim")+SUMIFS('Detalhamento fracionamento'!I:I,'Detalhamento fracionamento'!T:T,'Resumo por unidade'!H:H,'Detalhamento fracionamento'!U:U,"Sim")</f>
        <v>0</v>
      </c>
      <c r="J62" s="25">
        <v>62725.59</v>
      </c>
      <c r="K62" s="26">
        <f t="shared" si="6"/>
        <v>62725.59</v>
      </c>
      <c r="L62" s="12"/>
      <c r="M62" s="12"/>
    </row>
    <row r="63" spans="1:13" x14ac:dyDescent="0.25">
      <c r="A63" s="12"/>
      <c r="B63" s="12"/>
      <c r="C63" s="12"/>
      <c r="D63" s="12"/>
      <c r="E63" s="12"/>
      <c r="F63" s="12"/>
      <c r="G63" s="12"/>
      <c r="H63" s="47" t="s">
        <v>972</v>
      </c>
      <c r="I63" s="25">
        <f>SUMIFS(PCA!I:I,PCA!T:T,'Resumo por unidade'!H:H,PCA!V:V,"Sim")+SUMIFS('Detalhamento fracionamento'!I:I,'Detalhamento fracionamento'!T:T,'Resumo por unidade'!H:H,'Detalhamento fracionamento'!U:U,"Sim")</f>
        <v>742.55111929953796</v>
      </c>
      <c r="J63" s="25">
        <v>62725.59</v>
      </c>
      <c r="K63" s="26">
        <f t="shared" si="6"/>
        <v>61983.038880700457</v>
      </c>
      <c r="L63" s="12"/>
      <c r="M63" s="12"/>
    </row>
    <row r="64" spans="1:13" x14ac:dyDescent="0.25">
      <c r="A64" s="12"/>
      <c r="B64" s="12"/>
      <c r="C64" s="12"/>
      <c r="D64" s="12"/>
      <c r="E64" s="12"/>
      <c r="F64" s="12"/>
      <c r="G64" s="12"/>
      <c r="H64" s="47" t="s">
        <v>971</v>
      </c>
      <c r="I64" s="25">
        <f>SUMIFS(PCA!I:I,PCA!T:T,'Resumo por unidade'!H:H,PCA!V:V,"Sim")+SUMIFS('Detalhamento fracionamento'!I:I,'Detalhamento fracionamento'!T:T,'Resumo por unidade'!H:H,'Detalhamento fracionamento'!U:U,"Sim")</f>
        <v>237.130592003554</v>
      </c>
      <c r="J64" s="25">
        <v>62725.59</v>
      </c>
      <c r="K64" s="26">
        <f t="shared" si="6"/>
        <v>62488.459407996444</v>
      </c>
      <c r="L64" s="12"/>
      <c r="M64" s="12"/>
    </row>
    <row r="65" spans="1:13" x14ac:dyDescent="0.25">
      <c r="A65" s="12"/>
      <c r="B65" s="12"/>
      <c r="C65" s="12"/>
      <c r="D65" s="12"/>
      <c r="E65" s="12"/>
      <c r="F65" s="12"/>
      <c r="G65" s="12"/>
      <c r="H65" s="47" t="s">
        <v>367</v>
      </c>
      <c r="I65" s="25">
        <f>SUMIFS(PCA!I:I,PCA!T:T,'Resumo por unidade'!H:H,PCA!V:V,"Sim")+SUMIFS('Detalhamento fracionamento'!I:I,'Detalhamento fracionamento'!T:T,'Resumo por unidade'!H:H,'Detalhamento fracionamento'!U:U,"Sim")</f>
        <v>15160.76</v>
      </c>
      <c r="J65" s="25">
        <v>62725.59</v>
      </c>
      <c r="K65" s="26">
        <f t="shared" si="6"/>
        <v>47564.829999999994</v>
      </c>
      <c r="L65" s="12"/>
      <c r="M65" s="12"/>
    </row>
    <row r="66" spans="1:13" x14ac:dyDescent="0.25">
      <c r="A66" s="12"/>
      <c r="B66" s="12"/>
      <c r="C66" s="12"/>
      <c r="D66" s="12"/>
      <c r="E66" s="12"/>
      <c r="F66" s="12"/>
      <c r="G66" s="12"/>
      <c r="H66" s="47" t="s">
        <v>857</v>
      </c>
      <c r="I66" s="25">
        <f>SUMIFS(PCA!I:I,PCA!T:T,'Resumo por unidade'!H:H,PCA!V:V,"Sim")+SUMIFS('Detalhamento fracionamento'!I:I,'Detalhamento fracionamento'!T:T,'Resumo por unidade'!H:H,'Detalhamento fracionamento'!U:U,"Sim")</f>
        <v>23320.46</v>
      </c>
      <c r="J66" s="25">
        <v>62725.59</v>
      </c>
      <c r="K66" s="26">
        <f t="shared" si="6"/>
        <v>39405.129999999997</v>
      </c>
      <c r="L66" s="12"/>
      <c r="M66" s="12"/>
    </row>
    <row r="67" spans="1:13" x14ac:dyDescent="0.25">
      <c r="A67" s="12"/>
      <c r="B67" s="12"/>
      <c r="C67" s="12"/>
      <c r="D67" s="12"/>
      <c r="E67" s="12"/>
      <c r="F67" s="12"/>
      <c r="G67" s="12"/>
      <c r="H67" s="47" t="s">
        <v>1060</v>
      </c>
      <c r="I67" s="25">
        <f>SUMIFS(PCA!I:I,PCA!T:T,'Resumo por unidade'!H:H,PCA!V:V,"Sim")+SUMIFS('Detalhamento fracionamento'!I:I,'Detalhamento fracionamento'!T:T,'Resumo por unidade'!H:H,'Detalhamento fracionamento'!U:U,"Sim")</f>
        <v>0</v>
      </c>
      <c r="J67" s="25">
        <v>62725.59</v>
      </c>
      <c r="K67" s="26">
        <f t="shared" si="6"/>
        <v>62725.59</v>
      </c>
      <c r="L67" s="12"/>
      <c r="M67" s="12"/>
    </row>
    <row r="68" spans="1:13" x14ac:dyDescent="0.25">
      <c r="A68" s="12"/>
      <c r="B68" s="12"/>
      <c r="C68" s="12"/>
      <c r="D68" s="12"/>
      <c r="E68" s="12"/>
      <c r="F68" s="12"/>
      <c r="G68" s="12"/>
      <c r="H68" s="47" t="s">
        <v>616</v>
      </c>
      <c r="I68" s="25">
        <f>SUMIFS(PCA!I:I,PCA!T:T,'Resumo por unidade'!H:H,PCA!V:V,"Sim")+SUMIFS('Detalhamento fracionamento'!I:I,'Detalhamento fracionamento'!T:T,'Resumo por unidade'!H:H,'Detalhamento fracionamento'!U:U,"Sim")</f>
        <v>0</v>
      </c>
      <c r="J68" s="25">
        <v>62725.59</v>
      </c>
      <c r="K68" s="26">
        <f t="shared" si="6"/>
        <v>62725.59</v>
      </c>
      <c r="L68" s="12"/>
      <c r="M68" s="12"/>
    </row>
    <row r="69" spans="1:13" x14ac:dyDescent="0.25">
      <c r="A69" s="12"/>
      <c r="B69" s="12"/>
      <c r="C69" s="12"/>
      <c r="D69" s="12"/>
      <c r="E69" s="12"/>
      <c r="F69" s="12"/>
      <c r="G69" s="12"/>
      <c r="H69" s="47" t="s">
        <v>67</v>
      </c>
      <c r="I69" s="25">
        <f>SUMIFS(PCA!I:I,PCA!T:T,'Resumo por unidade'!H:H,PCA!V:V,"Sim")+SUMIFS('Detalhamento fracionamento'!I:I,'Detalhamento fracionamento'!T:T,'Resumo por unidade'!H:H,'Detalhamento fracionamento'!U:U,"Sim")</f>
        <v>0</v>
      </c>
      <c r="J69" s="25">
        <v>62725.59</v>
      </c>
      <c r="K69" s="26">
        <f t="shared" si="6"/>
        <v>62725.59</v>
      </c>
      <c r="L69" s="12"/>
      <c r="M69" s="12"/>
    </row>
    <row r="70" spans="1:13" x14ac:dyDescent="0.25">
      <c r="A70" s="12"/>
      <c r="B70" s="12"/>
      <c r="C70" s="12"/>
      <c r="D70" s="12"/>
      <c r="E70" s="12"/>
      <c r="F70" s="12"/>
      <c r="G70" s="12"/>
      <c r="H70" s="47" t="s">
        <v>830</v>
      </c>
      <c r="I70" s="25">
        <f>SUMIFS(PCA!I:I,PCA!T:T,'Resumo por unidade'!H:H,PCA!V:V,"Sim")+SUMIFS('Detalhamento fracionamento'!I:I,'Detalhamento fracionamento'!T:T,'Resumo por unidade'!H:H,'Detalhamento fracionamento'!U:U,"Sim")</f>
        <v>0</v>
      </c>
      <c r="J70" s="25">
        <v>62725.59</v>
      </c>
      <c r="K70" s="26">
        <f t="shared" si="6"/>
        <v>62725.59</v>
      </c>
      <c r="L70" s="12"/>
      <c r="M70" s="12"/>
    </row>
    <row r="71" spans="1:13" x14ac:dyDescent="0.25">
      <c r="A71" s="12"/>
      <c r="B71" s="12"/>
      <c r="C71" s="12"/>
      <c r="D71" s="12"/>
      <c r="E71" s="12"/>
      <c r="F71" s="12"/>
      <c r="G71" s="12"/>
      <c r="H71" s="47" t="s">
        <v>690</v>
      </c>
      <c r="I71" s="25">
        <f>SUMIFS(PCA!I:I,PCA!T:T,'Resumo por unidade'!H:H,PCA!V:V,"Sim")+SUMIFS('Detalhamento fracionamento'!I:I,'Detalhamento fracionamento'!T:T,'Resumo por unidade'!H:H,'Detalhamento fracionamento'!U:U,"Sim")</f>
        <v>0</v>
      </c>
      <c r="J71" s="25">
        <v>62725.59</v>
      </c>
      <c r="K71" s="26">
        <f t="shared" si="6"/>
        <v>62725.59</v>
      </c>
      <c r="L71" s="12"/>
      <c r="M71" s="12"/>
    </row>
    <row r="72" spans="1:13" x14ac:dyDescent="0.25">
      <c r="A72" s="12"/>
      <c r="B72" s="12"/>
      <c r="C72" s="12"/>
      <c r="D72" s="12"/>
      <c r="E72" s="12"/>
      <c r="F72" s="12"/>
      <c r="G72" s="12"/>
      <c r="H72" s="47" t="s">
        <v>973</v>
      </c>
      <c r="I72" s="25">
        <f>SUMIFS(PCA!I:I,PCA!T:T,'Resumo por unidade'!H:H,PCA!V:V,"Sim")+SUMIFS('Detalhamento fracionamento'!I:I,'Detalhamento fracionamento'!T:T,'Resumo por unidade'!H:H,'Detalhamento fracionamento'!U:U,"Sim")</f>
        <v>180.62831617305739</v>
      </c>
      <c r="J72" s="25">
        <v>62725.59</v>
      </c>
      <c r="K72" s="26">
        <f t="shared" si="6"/>
        <v>62544.961683826936</v>
      </c>
      <c r="L72" s="12"/>
      <c r="M72" s="12"/>
    </row>
    <row r="73" spans="1:13" x14ac:dyDescent="0.25">
      <c r="A73" s="12"/>
      <c r="B73" s="12"/>
      <c r="C73" s="12"/>
      <c r="D73" s="12"/>
      <c r="E73" s="12"/>
      <c r="F73" s="12"/>
      <c r="G73" s="12"/>
      <c r="H73" s="47" t="s">
        <v>251</v>
      </c>
      <c r="I73" s="25">
        <f>SUMIFS(PCA!I:I,PCA!T:T,'Resumo por unidade'!H:H,PCA!V:V,"Sim")+SUMIFS('Detalhamento fracionamento'!I:I,'Detalhamento fracionamento'!T:T,'Resumo por unidade'!H:H,'Detalhamento fracionamento'!U:U,"Sim")</f>
        <v>0</v>
      </c>
      <c r="J73" s="25">
        <v>62725.59</v>
      </c>
      <c r="K73" s="26">
        <f t="shared" si="6"/>
        <v>62725.59</v>
      </c>
      <c r="L73" s="12"/>
      <c r="M73" s="12"/>
    </row>
    <row r="74" spans="1:13" x14ac:dyDescent="0.25">
      <c r="A74" s="12"/>
      <c r="B74" s="12"/>
      <c r="C74" s="12"/>
      <c r="D74" s="12"/>
      <c r="E74" s="12"/>
      <c r="F74" s="12"/>
      <c r="G74" s="12"/>
      <c r="H74" s="47" t="s">
        <v>961</v>
      </c>
      <c r="I74" s="25">
        <f>SUMIFS(PCA!I:I,PCA!T:T,'Resumo por unidade'!H:H,PCA!V:V,"Sim")+SUMIFS('Detalhamento fracionamento'!I:I,'Detalhamento fracionamento'!T:T,'Resumo por unidade'!H:H,'Detalhamento fracionamento'!U:U,"Sim")</f>
        <v>2660.7120055586493</v>
      </c>
      <c r="J74" s="25">
        <v>62725.59</v>
      </c>
      <c r="K74" s="26">
        <f t="shared" si="6"/>
        <v>60064.877994441347</v>
      </c>
      <c r="L74" s="12"/>
      <c r="M74" s="12"/>
    </row>
    <row r="75" spans="1:13" x14ac:dyDescent="0.25">
      <c r="A75" s="12"/>
      <c r="B75" s="12"/>
      <c r="C75" s="12"/>
      <c r="D75" s="12"/>
      <c r="E75" s="12"/>
      <c r="F75" s="12"/>
      <c r="G75" s="12"/>
      <c r="H75" s="47" t="s">
        <v>190</v>
      </c>
      <c r="I75" s="25">
        <f>SUMIFS(PCA!I:I,PCA!T:T,'Resumo por unidade'!H:H,PCA!V:V,"Sim")+SUMIFS('Detalhamento fracionamento'!I:I,'Detalhamento fracionamento'!T:T,'Resumo por unidade'!H:H,'Detalhamento fracionamento'!U:U,"Sim")</f>
        <v>0</v>
      </c>
      <c r="J75" s="25">
        <v>62725.59</v>
      </c>
      <c r="K75" s="26">
        <f t="shared" si="6"/>
        <v>62725.59</v>
      </c>
      <c r="L75" s="12"/>
      <c r="M75" s="12"/>
    </row>
    <row r="76" spans="1:13" x14ac:dyDescent="0.25">
      <c r="A76" s="12"/>
      <c r="B76" s="12"/>
      <c r="C76" s="12"/>
      <c r="D76" s="12"/>
      <c r="E76" s="12"/>
      <c r="F76" s="12"/>
      <c r="G76" s="12"/>
      <c r="H76" s="47" t="s">
        <v>81</v>
      </c>
      <c r="I76" s="25">
        <f>SUMIFS(PCA!I:I,PCA!T:T,'Resumo por unidade'!H:H,PCA!V:V,"Sim")+SUMIFS('Detalhamento fracionamento'!I:I,'Detalhamento fracionamento'!T:T,'Resumo por unidade'!H:H,'Detalhamento fracionamento'!U:U,"Sim")</f>
        <v>0</v>
      </c>
      <c r="J76" s="25">
        <v>62725.59</v>
      </c>
      <c r="K76" s="26">
        <f t="shared" si="6"/>
        <v>62725.59</v>
      </c>
      <c r="L76" s="12"/>
      <c r="M76" s="12"/>
    </row>
    <row r="77" spans="1:13" x14ac:dyDescent="0.25">
      <c r="A77" s="12"/>
      <c r="B77" s="12"/>
      <c r="C77" s="12"/>
      <c r="D77" s="12"/>
      <c r="E77" s="12"/>
      <c r="F77" s="12"/>
      <c r="G77" s="12"/>
      <c r="H77" s="47" t="s">
        <v>939</v>
      </c>
      <c r="I77" s="25">
        <f>SUMIFS(PCA!I:I,PCA!T:T,'Resumo por unidade'!H:H,PCA!V:V,"Sim")+SUMIFS('Detalhamento fracionamento'!I:I,'Detalhamento fracionamento'!T:T,'Resumo por unidade'!H:H,'Detalhamento fracionamento'!U:U,"Sim")</f>
        <v>0</v>
      </c>
      <c r="J77" s="25">
        <v>62725.59</v>
      </c>
      <c r="K77" s="26">
        <f t="shared" si="6"/>
        <v>62725.59</v>
      </c>
      <c r="L77" s="12"/>
      <c r="M77" s="12"/>
    </row>
    <row r="78" spans="1:13" x14ac:dyDescent="0.25">
      <c r="A78" s="12"/>
      <c r="B78" s="12"/>
      <c r="C78" s="12"/>
      <c r="D78" s="12"/>
      <c r="E78" s="12"/>
      <c r="F78" s="12"/>
      <c r="G78" s="12"/>
      <c r="H78" s="47" t="s">
        <v>969</v>
      </c>
      <c r="I78" s="25">
        <f>SUMIFS(PCA!I:I,PCA!T:T,'Resumo por unidade'!H:H,PCA!V:V,"Sim")+SUMIFS('Detalhamento fracionamento'!I:I,'Detalhamento fracionamento'!T:T,'Resumo por unidade'!H:H,'Detalhamento fracionamento'!U:U,"Sim")</f>
        <v>1180.6195276403341</v>
      </c>
      <c r="J78" s="25">
        <v>62725.59</v>
      </c>
      <c r="K78" s="26">
        <f t="shared" si="6"/>
        <v>61544.970472359666</v>
      </c>
      <c r="L78" s="12"/>
      <c r="M78" s="12"/>
    </row>
    <row r="79" spans="1:13" x14ac:dyDescent="0.25">
      <c r="A79" s="12"/>
      <c r="B79" s="12"/>
      <c r="C79" s="12"/>
      <c r="D79" s="12"/>
      <c r="E79" s="12"/>
      <c r="F79" s="12"/>
      <c r="G79" s="12"/>
      <c r="H79" s="47" t="s">
        <v>967</v>
      </c>
      <c r="I79" s="25">
        <f>SUMIFS(PCA!I:I,PCA!T:T,'Resumo por unidade'!H:H,PCA!V:V,"Sim")+SUMIFS('Detalhamento fracionamento'!I:I,'Detalhamento fracionamento'!T:T,'Resumo por unidade'!H:H,'Detalhamento fracionamento'!U:U,"Sim")</f>
        <v>839.86414526326007</v>
      </c>
      <c r="J79" s="25">
        <v>62725.59</v>
      </c>
      <c r="K79" s="26">
        <f t="shared" si="6"/>
        <v>61885.725854736738</v>
      </c>
      <c r="L79" s="12"/>
      <c r="M79" s="12"/>
    </row>
    <row r="80" spans="1:13" x14ac:dyDescent="0.25">
      <c r="A80" s="12"/>
      <c r="B80" s="12"/>
      <c r="C80" s="12"/>
      <c r="D80" s="12"/>
      <c r="E80" s="12"/>
      <c r="F80" s="12"/>
      <c r="G80" s="12"/>
      <c r="H80" s="47" t="s">
        <v>863</v>
      </c>
      <c r="I80" s="25">
        <f>SUMIFS(PCA!I:I,PCA!T:T,'Resumo por unidade'!H:H,PCA!V:V,"Sim")+SUMIFS('Detalhamento fracionamento'!I:I,'Detalhamento fracionamento'!T:T,'Resumo por unidade'!H:H,'Detalhamento fracionamento'!U:U,"Sim")</f>
        <v>15700</v>
      </c>
      <c r="J80" s="25">
        <v>62725.59</v>
      </c>
      <c r="K80" s="26">
        <f t="shared" si="6"/>
        <v>47025.59</v>
      </c>
      <c r="L80" s="12"/>
      <c r="M80" s="12"/>
    </row>
    <row r="81" spans="1:13" x14ac:dyDescent="0.25">
      <c r="A81" s="12"/>
      <c r="B81" s="12"/>
      <c r="C81" s="12"/>
      <c r="D81" s="12"/>
      <c r="E81" s="12"/>
      <c r="F81" s="12"/>
      <c r="G81" s="12"/>
      <c r="H81" s="47" t="s">
        <v>122</v>
      </c>
      <c r="I81" s="25">
        <f>SUMIFS(PCA!I:I,PCA!T:T,'Resumo por unidade'!H:H,PCA!V:V,"Sim")+SUMIFS('Detalhamento fracionamento'!I:I,'Detalhamento fracionamento'!T:T,'Resumo por unidade'!H:H,'Detalhamento fracionamento'!U:U,"Sim")</f>
        <v>39450.241615025865</v>
      </c>
      <c r="J81" s="25">
        <v>62725.59</v>
      </c>
      <c r="K81" s="26">
        <f t="shared" si="6"/>
        <v>23275.348384974131</v>
      </c>
      <c r="L81" s="12"/>
      <c r="M81" s="12"/>
    </row>
    <row r="82" spans="1:13" x14ac:dyDescent="0.25">
      <c r="A82" s="12"/>
      <c r="B82" s="12"/>
      <c r="C82" s="12"/>
      <c r="D82" s="12"/>
      <c r="E82" s="12"/>
      <c r="F82" s="12"/>
      <c r="G82" s="12"/>
      <c r="H82" s="47" t="s">
        <v>954</v>
      </c>
      <c r="I82" s="25">
        <f>SUMIFS(PCA!I:I,PCA!T:T,'Resumo por unidade'!H:H,PCA!V:V,"Sim")+SUMIFS('Detalhamento fracionamento'!I:I,'Detalhamento fracionamento'!T:T,'Resumo por unidade'!H:H,'Detalhamento fracionamento'!U:U,"Sim")</f>
        <v>25933.758384974135</v>
      </c>
      <c r="J82" s="25">
        <v>62725.59</v>
      </c>
      <c r="K82" s="26">
        <f t="shared" si="6"/>
        <v>36791.831615025862</v>
      </c>
      <c r="L82" s="12"/>
      <c r="M82" s="12"/>
    </row>
    <row r="83" spans="1:13" x14ac:dyDescent="0.25">
      <c r="A83" s="12"/>
      <c r="B83" s="12"/>
      <c r="C83" s="12"/>
      <c r="D83" s="12"/>
      <c r="E83" s="12"/>
      <c r="F83" s="12"/>
      <c r="G83" s="12"/>
      <c r="H83" s="47" t="s">
        <v>149</v>
      </c>
      <c r="I83" s="25">
        <f>SUMIFS(PCA!I:I,PCA!T:T,'Resumo por unidade'!H:H,PCA!V:V,"Sim")+SUMIFS('Detalhamento fracionamento'!I:I,'Detalhamento fracionamento'!T:T,'Resumo por unidade'!H:H,'Detalhamento fracionamento'!U:U,"Sim")</f>
        <v>0</v>
      </c>
      <c r="J83" s="25">
        <v>62725.59</v>
      </c>
      <c r="K83" s="26">
        <f t="shared" si="6"/>
        <v>62725.59</v>
      </c>
      <c r="L83" s="12"/>
      <c r="M83" s="12"/>
    </row>
    <row r="84" spans="1:13" x14ac:dyDescent="0.25">
      <c r="A84" s="12"/>
      <c r="B84" s="12"/>
      <c r="C84" s="12"/>
      <c r="D84" s="12"/>
      <c r="E84" s="12"/>
      <c r="F84" s="12"/>
      <c r="G84" s="12"/>
      <c r="H84" s="47" t="s">
        <v>109</v>
      </c>
      <c r="I84" s="25">
        <f>SUMIFS(PCA!I:I,PCA!T:T,'Resumo por unidade'!H:H,PCA!V:V,"Sim")+SUMIFS('Detalhamento fracionamento'!I:I,'Detalhamento fracionamento'!T:T,'Resumo por unidade'!H:H,'Detalhamento fracionamento'!U:U,"Sim")</f>
        <v>0</v>
      </c>
      <c r="J84" s="25">
        <v>62725.59</v>
      </c>
      <c r="K84" s="26">
        <f t="shared" si="6"/>
        <v>62725.59</v>
      </c>
      <c r="L84" s="12"/>
      <c r="M84" s="12"/>
    </row>
    <row r="85" spans="1:13" x14ac:dyDescent="0.25">
      <c r="A85" s="12"/>
      <c r="B85" s="12"/>
      <c r="C85" s="12"/>
      <c r="D85" s="12"/>
      <c r="E85" s="12"/>
      <c r="F85" s="12"/>
      <c r="G85" s="12"/>
      <c r="H85" s="47" t="s">
        <v>341</v>
      </c>
      <c r="I85" s="25">
        <f>SUMIFS(PCA!I:I,PCA!T:T,'Resumo por unidade'!H:H,PCA!V:V,"Sim")+SUMIFS('Detalhamento fracionamento'!I:I,'Detalhamento fracionamento'!T:T,'Resumo por unidade'!H:H,'Detalhamento fracionamento'!U:U,"Sim")</f>
        <v>0</v>
      </c>
      <c r="J85" s="25">
        <v>62725.59</v>
      </c>
      <c r="K85" s="26">
        <f t="shared" si="6"/>
        <v>62725.59</v>
      </c>
      <c r="L85" s="12"/>
      <c r="M85" s="12"/>
    </row>
    <row r="86" spans="1:13" x14ac:dyDescent="0.25">
      <c r="A86" s="12"/>
      <c r="B86" s="12"/>
      <c r="C86" s="12"/>
      <c r="D86" s="12"/>
      <c r="E86" s="12"/>
      <c r="F86" s="12"/>
      <c r="G86" s="12"/>
      <c r="H86" s="88" t="s">
        <v>868</v>
      </c>
      <c r="I86" s="25">
        <f>SUMIFS(PCA!I:I,PCA!T:T,'Resumo por unidade'!H:H,PCA!V:V,"Sim")+SUMIFS('Detalhamento fracionamento'!I:I,'Detalhamento fracionamento'!T:T,'Resumo por unidade'!H:H,'Detalhamento fracionamento'!U:U,"Sim")</f>
        <v>76000</v>
      </c>
      <c r="J86" s="25">
        <f>62725.59*2</f>
        <v>125451.18</v>
      </c>
      <c r="K86" s="26">
        <f t="shared" si="6"/>
        <v>49451.179999999993</v>
      </c>
      <c r="L86" s="12"/>
      <c r="M86" s="12"/>
    </row>
    <row r="87" spans="1:13" x14ac:dyDescent="0.25">
      <c r="A87" s="12"/>
      <c r="B87" s="12"/>
      <c r="C87" s="12"/>
      <c r="D87" s="12"/>
      <c r="E87" s="12"/>
      <c r="F87" s="12"/>
      <c r="G87" s="12"/>
      <c r="H87" s="88" t="s">
        <v>979</v>
      </c>
      <c r="I87" s="25">
        <f>SUMIFS(PCA!I:I,PCA!T:T,'Resumo por unidade'!H:H,PCA!V:V,"Sim")+SUMIFS('Detalhamento fracionamento'!I:I,'Detalhamento fracionamento'!T:T,'Resumo por unidade'!H:H,'Detalhamento fracionamento'!U:U,"Sim")</f>
        <v>423</v>
      </c>
      <c r="J87" s="25">
        <f>62725.59*2</f>
        <v>125451.18</v>
      </c>
      <c r="K87" s="26">
        <f t="shared" si="6"/>
        <v>125028.18</v>
      </c>
      <c r="L87" s="12"/>
      <c r="M87" s="12"/>
    </row>
    <row r="88" spans="1:13" x14ac:dyDescent="0.25">
      <c r="A88" s="12"/>
      <c r="B88" s="12"/>
      <c r="C88" s="12"/>
      <c r="D88" s="12"/>
      <c r="E88" s="12"/>
      <c r="F88" s="12"/>
      <c r="G88" s="12"/>
      <c r="H88" s="47" t="s">
        <v>77</v>
      </c>
      <c r="I88" s="25">
        <f>SUMIFS(PCA!I:I,PCA!T:T,'Resumo por unidade'!H:H,PCA!V:V,"Sim")+SUMIFS('Detalhamento fracionamento'!I:I,'Detalhamento fracionamento'!T:T,'Resumo por unidade'!H:H,'Detalhamento fracionamento'!U:U,"Sim")</f>
        <v>0</v>
      </c>
      <c r="J88" s="25">
        <v>62725.59</v>
      </c>
      <c r="K88" s="26">
        <f t="shared" si="6"/>
        <v>62725.59</v>
      </c>
      <c r="L88" s="12"/>
      <c r="M88" s="12"/>
    </row>
    <row r="89" spans="1:13" x14ac:dyDescent="0.25">
      <c r="A89" s="12"/>
      <c r="B89" s="12"/>
      <c r="C89" s="12"/>
      <c r="D89" s="12"/>
      <c r="E89" s="12"/>
      <c r="F89" s="12"/>
      <c r="G89" s="12"/>
      <c r="H89" s="47" t="s">
        <v>247</v>
      </c>
      <c r="I89" s="25">
        <f>SUMIFS(PCA!I:I,PCA!T:T,'Resumo por unidade'!H:H,PCA!V:V,"Sim")+SUMIFS('Detalhamento fracionamento'!I:I,'Detalhamento fracionamento'!T:T,'Resumo por unidade'!H:H,'Detalhamento fracionamento'!U:U,"Sim")</f>
        <v>0</v>
      </c>
      <c r="J89" s="25">
        <v>62725.59</v>
      </c>
      <c r="K89" s="26">
        <f t="shared" si="6"/>
        <v>62725.59</v>
      </c>
      <c r="L89" s="12"/>
      <c r="M89" s="12"/>
    </row>
    <row r="90" spans="1:13" x14ac:dyDescent="0.25">
      <c r="A90" s="12"/>
      <c r="B90" s="12"/>
      <c r="C90" s="12"/>
      <c r="D90" s="12"/>
      <c r="E90" s="12"/>
      <c r="F90" s="12"/>
      <c r="G90" s="12"/>
      <c r="H90" s="47" t="s">
        <v>323</v>
      </c>
      <c r="I90" s="25">
        <f>SUMIFS(PCA!I:I,PCA!T:T,'Resumo por unidade'!H:H,PCA!V:V,"Sim")+SUMIFS('Detalhamento fracionamento'!I:I,'Detalhamento fracionamento'!T:T,'Resumo por unidade'!H:H,'Detalhamento fracionamento'!U:U,"Sim")</f>
        <v>0</v>
      </c>
      <c r="J90" s="25">
        <v>62725.59</v>
      </c>
      <c r="K90" s="26">
        <f t="shared" ref="K90:K121" si="7">J90-I90</f>
        <v>62725.59</v>
      </c>
      <c r="L90" s="12"/>
      <c r="M90" s="12"/>
    </row>
    <row r="91" spans="1:13" x14ac:dyDescent="0.25">
      <c r="A91" s="12"/>
      <c r="B91" s="12"/>
      <c r="C91" s="12"/>
      <c r="D91" s="12"/>
      <c r="E91" s="12"/>
      <c r="F91" s="12"/>
      <c r="G91" s="12"/>
      <c r="H91" s="47" t="s">
        <v>55</v>
      </c>
      <c r="I91" s="25">
        <f>SUMIFS(PCA!I:I,PCA!T:T,'Resumo por unidade'!H:H,PCA!V:V,"Sim")+SUMIFS('Detalhamento fracionamento'!I:I,'Detalhamento fracionamento'!T:T,'Resumo por unidade'!H:H,'Detalhamento fracionamento'!U:U,"Sim")</f>
        <v>0</v>
      </c>
      <c r="J91" s="25">
        <v>62725.59</v>
      </c>
      <c r="K91" s="26">
        <f t="shared" si="7"/>
        <v>62725.59</v>
      </c>
      <c r="L91" s="12"/>
      <c r="M91" s="12"/>
    </row>
    <row r="92" spans="1:13" x14ac:dyDescent="0.25">
      <c r="A92" s="12"/>
      <c r="B92" s="12"/>
      <c r="C92" s="12"/>
      <c r="D92" s="12"/>
      <c r="E92" s="12"/>
      <c r="F92" s="12"/>
      <c r="G92" s="12"/>
      <c r="H92" s="47" t="s">
        <v>390</v>
      </c>
      <c r="I92" s="25">
        <f>SUMIFS(PCA!I:I,PCA!T:T,'Resumo por unidade'!H:H,PCA!V:V,"Sim")+SUMIFS('Detalhamento fracionamento'!I:I,'Detalhamento fracionamento'!T:T,'Resumo por unidade'!H:H,'Detalhamento fracionamento'!U:U,"Sim")</f>
        <v>0</v>
      </c>
      <c r="J92" s="25">
        <v>62725.59</v>
      </c>
      <c r="K92" s="26">
        <f t="shared" si="7"/>
        <v>62725.59</v>
      </c>
      <c r="L92" s="12"/>
      <c r="M92" s="12"/>
    </row>
    <row r="93" spans="1:13" x14ac:dyDescent="0.25">
      <c r="A93" s="12"/>
      <c r="B93" s="12"/>
      <c r="C93" s="12"/>
      <c r="D93" s="12"/>
      <c r="E93" s="12"/>
      <c r="F93" s="12"/>
      <c r="G93" s="12"/>
      <c r="H93" s="47" t="s">
        <v>427</v>
      </c>
      <c r="I93" s="25">
        <f>SUMIFS(PCA!I:I,PCA!T:T,'Resumo por unidade'!H:H,PCA!V:V,"Sim")+SUMIFS('Detalhamento fracionamento'!I:I,'Detalhamento fracionamento'!T:T,'Resumo por unidade'!H:H,'Detalhamento fracionamento'!U:U,"Sim")</f>
        <v>0</v>
      </c>
      <c r="J93" s="25">
        <v>62725.59</v>
      </c>
      <c r="K93" s="26">
        <f t="shared" si="7"/>
        <v>62725.59</v>
      </c>
      <c r="L93" s="12"/>
      <c r="M93" s="12"/>
    </row>
    <row r="94" spans="1:13" x14ac:dyDescent="0.25">
      <c r="A94" s="12"/>
      <c r="B94" s="12"/>
      <c r="C94" s="12"/>
      <c r="D94" s="12"/>
      <c r="E94" s="12"/>
      <c r="F94" s="12"/>
      <c r="G94" s="12"/>
      <c r="H94" s="47" t="s">
        <v>698</v>
      </c>
      <c r="I94" s="25">
        <f>SUMIFS(PCA!I:I,PCA!T:T,'Resumo por unidade'!H:H,PCA!V:V,"Sim")+SUMIFS('Detalhamento fracionamento'!I:I,'Detalhamento fracionamento'!T:T,'Resumo por unidade'!H:H,'Detalhamento fracionamento'!U:U,"Sim")</f>
        <v>0</v>
      </c>
      <c r="J94" s="25">
        <v>62725.59</v>
      </c>
      <c r="K94" s="26">
        <f t="shared" si="7"/>
        <v>62725.59</v>
      </c>
      <c r="L94" s="12"/>
      <c r="M94" s="12"/>
    </row>
    <row r="95" spans="1:13" x14ac:dyDescent="0.25">
      <c r="A95" s="12"/>
      <c r="B95" s="12"/>
      <c r="C95" s="12"/>
      <c r="D95" s="12"/>
      <c r="E95" s="12"/>
      <c r="F95" s="12"/>
      <c r="G95" s="12"/>
      <c r="H95" s="47" t="s">
        <v>991</v>
      </c>
      <c r="I95" s="25">
        <f>SUMIFS(PCA!I:I,PCA!T:T,'Resumo por unidade'!H:H,PCA!V:V,"Sim")+SUMIFS('Detalhamento fracionamento'!I:I,'Detalhamento fracionamento'!T:T,'Resumo por unidade'!H:H,'Detalhamento fracionamento'!U:U,"Sim")</f>
        <v>5653</v>
      </c>
      <c r="J95" s="25">
        <v>62725.59</v>
      </c>
      <c r="K95" s="26">
        <f t="shared" si="7"/>
        <v>57072.59</v>
      </c>
      <c r="L95" s="12"/>
      <c r="M95" s="12"/>
    </row>
    <row r="96" spans="1:13" x14ac:dyDescent="0.25">
      <c r="A96" s="12"/>
      <c r="B96" s="12"/>
      <c r="C96" s="12"/>
      <c r="D96" s="12"/>
      <c r="E96" s="12"/>
      <c r="F96" s="12"/>
      <c r="G96" s="12"/>
      <c r="H96" s="47" t="s">
        <v>222</v>
      </c>
      <c r="I96" s="25">
        <f>SUMIFS(PCA!I:I,PCA!T:T,'Resumo por unidade'!H:H,PCA!V:V,"Sim")+SUMIFS('Detalhamento fracionamento'!I:I,'Detalhamento fracionamento'!T:T,'Resumo por unidade'!H:H,'Detalhamento fracionamento'!U:U,"Sim")</f>
        <v>0</v>
      </c>
      <c r="J96" s="25">
        <v>62725.59</v>
      </c>
      <c r="K96" s="26">
        <f t="shared" si="7"/>
        <v>62725.59</v>
      </c>
      <c r="L96" s="12"/>
      <c r="M96" s="12"/>
    </row>
    <row r="97" spans="1:13" x14ac:dyDescent="0.25">
      <c r="A97" s="12"/>
      <c r="B97" s="12"/>
      <c r="C97" s="12"/>
      <c r="D97" s="12"/>
      <c r="E97" s="12"/>
      <c r="F97" s="12"/>
      <c r="G97" s="12"/>
      <c r="H97" s="47" t="s">
        <v>987</v>
      </c>
      <c r="I97" s="25">
        <f>SUMIFS(PCA!I:I,PCA!T:T,'Resumo por unidade'!H:H,PCA!V:V,"Sim")+SUMIFS('Detalhamento fracionamento'!I:I,'Detalhamento fracionamento'!T:T,'Resumo por unidade'!H:H,'Detalhamento fracionamento'!U:U,"Sim")</f>
        <v>1500</v>
      </c>
      <c r="J97" s="25">
        <v>62725.59</v>
      </c>
      <c r="K97" s="26">
        <f t="shared" si="7"/>
        <v>61225.59</v>
      </c>
      <c r="L97" s="12"/>
      <c r="M97" s="12"/>
    </row>
    <row r="98" spans="1:13" x14ac:dyDescent="0.25">
      <c r="A98" s="12"/>
      <c r="B98" s="12"/>
      <c r="C98" s="12"/>
      <c r="D98" s="12"/>
      <c r="E98" s="12"/>
      <c r="F98" s="12"/>
      <c r="G98" s="12"/>
      <c r="H98" s="47" t="s">
        <v>294</v>
      </c>
      <c r="I98" s="25">
        <f>SUMIFS(PCA!I:I,PCA!T:T,'Resumo por unidade'!H:H,PCA!V:V,"Sim")+SUMIFS('Detalhamento fracionamento'!I:I,'Detalhamento fracionamento'!T:T,'Resumo por unidade'!H:H,'Detalhamento fracionamento'!U:U,"Sim")</f>
        <v>0</v>
      </c>
      <c r="J98" s="25">
        <v>62725.59</v>
      </c>
      <c r="K98" s="26">
        <f t="shared" si="7"/>
        <v>62725.59</v>
      </c>
      <c r="L98" s="12"/>
      <c r="M98" s="12"/>
    </row>
    <row r="99" spans="1:13" x14ac:dyDescent="0.25">
      <c r="A99" s="12"/>
      <c r="B99" s="12"/>
      <c r="C99" s="12"/>
      <c r="D99" s="12"/>
      <c r="E99" s="12"/>
      <c r="F99" s="12"/>
      <c r="G99" s="12"/>
      <c r="H99" s="47" t="s">
        <v>822</v>
      </c>
      <c r="I99" s="25">
        <f>SUMIFS(PCA!I:I,PCA!T:T,'Resumo por unidade'!H:H,PCA!V:V,"Sim")+SUMIFS('Detalhamento fracionamento'!I:I,'Detalhamento fracionamento'!T:T,'Resumo por unidade'!H:H,'Detalhamento fracionamento'!U:U,"Sim")</f>
        <v>2370</v>
      </c>
      <c r="J99" s="25">
        <v>62725.59</v>
      </c>
      <c r="K99" s="26">
        <f t="shared" si="7"/>
        <v>60355.59</v>
      </c>
      <c r="L99" s="12"/>
      <c r="M99" s="12"/>
    </row>
    <row r="100" spans="1:13" x14ac:dyDescent="0.25">
      <c r="A100" s="12"/>
      <c r="B100" s="12"/>
      <c r="C100" s="12"/>
      <c r="D100" s="12"/>
      <c r="E100" s="12"/>
      <c r="F100" s="12"/>
      <c r="G100" s="12"/>
      <c r="H100" s="47" t="s">
        <v>265</v>
      </c>
      <c r="I100" s="25">
        <f>SUMIFS(PCA!I:I,PCA!T:T,'Resumo por unidade'!H:H,PCA!V:V,"Sim")+SUMIFS('Detalhamento fracionamento'!I:I,'Detalhamento fracionamento'!T:T,'Resumo por unidade'!H:H,'Detalhamento fracionamento'!U:U,"Sim")</f>
        <v>0</v>
      </c>
      <c r="J100" s="25">
        <v>62725.59</v>
      </c>
      <c r="K100" s="26">
        <f t="shared" si="7"/>
        <v>62725.59</v>
      </c>
      <c r="L100" s="12"/>
      <c r="M100" s="12"/>
    </row>
    <row r="101" spans="1:13" x14ac:dyDescent="0.25">
      <c r="A101" s="12"/>
      <c r="B101" s="12"/>
      <c r="C101" s="12"/>
      <c r="D101" s="12"/>
      <c r="E101" s="12"/>
      <c r="F101" s="12"/>
      <c r="G101" s="12"/>
      <c r="H101" s="47" t="s">
        <v>796</v>
      </c>
      <c r="I101" s="25">
        <f>SUMIFS(PCA!I:I,PCA!T:T,'Resumo por unidade'!H:H,PCA!V:V,"Sim")+SUMIFS('Detalhamento fracionamento'!I:I,'Detalhamento fracionamento'!T:T,'Resumo por unidade'!H:H,'Detalhamento fracionamento'!U:U,"Sim")</f>
        <v>1883</v>
      </c>
      <c r="J101" s="25">
        <v>62725.59</v>
      </c>
      <c r="K101" s="26">
        <f t="shared" si="7"/>
        <v>60842.59</v>
      </c>
      <c r="L101" s="12"/>
      <c r="M101" s="12"/>
    </row>
    <row r="102" spans="1:13" x14ac:dyDescent="0.25">
      <c r="A102" s="12"/>
      <c r="B102" s="12"/>
      <c r="C102" s="12"/>
      <c r="D102" s="12"/>
      <c r="E102" s="12"/>
      <c r="F102" s="12"/>
      <c r="G102" s="12"/>
      <c r="H102" s="47" t="s">
        <v>1006</v>
      </c>
      <c r="I102" s="25">
        <f>SUMIFS(PCA!I:I,PCA!T:T,'Resumo por unidade'!H:H,PCA!V:V,"Sim")+SUMIFS('Detalhamento fracionamento'!I:I,'Detalhamento fracionamento'!T:T,'Resumo por unidade'!H:H,'Detalhamento fracionamento'!U:U,"Sim")</f>
        <v>285</v>
      </c>
      <c r="J102" s="25">
        <v>62725.59</v>
      </c>
      <c r="K102" s="26">
        <f t="shared" si="7"/>
        <v>62440.59</v>
      </c>
      <c r="L102" s="12"/>
      <c r="M102" s="12"/>
    </row>
    <row r="103" spans="1:13" x14ac:dyDescent="0.25">
      <c r="A103" s="12"/>
      <c r="B103" s="12"/>
      <c r="C103" s="12"/>
      <c r="D103" s="12"/>
      <c r="E103" s="12"/>
      <c r="F103" s="12"/>
      <c r="G103" s="12"/>
      <c r="H103" s="47" t="s">
        <v>163</v>
      </c>
      <c r="I103" s="25">
        <f>SUMIFS(PCA!I:I,PCA!T:T,'Resumo por unidade'!H:H,PCA!V:V,"Sim")+SUMIFS('Detalhamento fracionamento'!I:I,'Detalhamento fracionamento'!T:T,'Resumo por unidade'!H:H,'Detalhamento fracionamento'!U:U,"Sim")</f>
        <v>0</v>
      </c>
      <c r="J103" s="25">
        <v>62725.59</v>
      </c>
      <c r="K103" s="26">
        <f t="shared" si="7"/>
        <v>62725.59</v>
      </c>
      <c r="L103" s="12"/>
      <c r="M103" s="12"/>
    </row>
    <row r="104" spans="1:13" x14ac:dyDescent="0.25">
      <c r="A104" s="12"/>
      <c r="B104" s="12"/>
      <c r="C104" s="12"/>
      <c r="D104" s="12"/>
      <c r="E104" s="12"/>
      <c r="F104" s="12"/>
      <c r="G104" s="12"/>
      <c r="H104" s="47" t="s">
        <v>195</v>
      </c>
      <c r="I104" s="25">
        <f>SUMIFS(PCA!I:I,PCA!T:T,'Resumo por unidade'!H:H,PCA!V:V,"Sim")+SUMIFS('Detalhamento fracionamento'!I:I,'Detalhamento fracionamento'!T:T,'Resumo por unidade'!H:H,'Detalhamento fracionamento'!U:U,"Sim")</f>
        <v>30000</v>
      </c>
      <c r="J104" s="25">
        <v>62725.59</v>
      </c>
      <c r="K104" s="26">
        <f t="shared" si="7"/>
        <v>32725.589999999997</v>
      </c>
      <c r="L104" s="12"/>
      <c r="M104" s="12"/>
    </row>
    <row r="105" spans="1:13" x14ac:dyDescent="0.25">
      <c r="A105" s="12"/>
      <c r="B105" s="12"/>
      <c r="C105" s="12"/>
      <c r="D105" s="12"/>
      <c r="E105" s="12"/>
      <c r="F105" s="12"/>
      <c r="G105" s="12"/>
      <c r="H105" s="47" t="s">
        <v>51</v>
      </c>
      <c r="I105" s="25">
        <f>SUMIFS(PCA!I:I,PCA!T:T,'Resumo por unidade'!H:H,PCA!V:V,"Sim")+SUMIFS('Detalhamento fracionamento'!I:I,'Detalhamento fracionamento'!T:T,'Resumo por unidade'!H:H,'Detalhamento fracionamento'!U:U,"Sim")</f>
        <v>0</v>
      </c>
      <c r="J105" s="25">
        <v>62725.59</v>
      </c>
      <c r="K105" s="26">
        <f t="shared" si="7"/>
        <v>62725.59</v>
      </c>
      <c r="L105" s="12"/>
      <c r="M105" s="12"/>
    </row>
    <row r="106" spans="1:13" x14ac:dyDescent="0.25">
      <c r="A106" s="12"/>
      <c r="B106" s="12"/>
      <c r="C106" s="12"/>
      <c r="D106" s="12"/>
      <c r="E106" s="12"/>
      <c r="F106" s="12"/>
      <c r="G106" s="12"/>
      <c r="H106" s="47" t="s">
        <v>744</v>
      </c>
      <c r="I106" s="25">
        <f>SUMIFS(PCA!I:I,PCA!T:T,'Resumo por unidade'!H:H,PCA!V:V,"Sim")+SUMIFS('Detalhamento fracionamento'!I:I,'Detalhamento fracionamento'!T:T,'Resumo por unidade'!H:H,'Detalhamento fracionamento'!U:U,"Sim")</f>
        <v>0</v>
      </c>
      <c r="J106" s="25">
        <v>62725.59</v>
      </c>
      <c r="K106" s="26">
        <f t="shared" si="7"/>
        <v>62725.59</v>
      </c>
      <c r="L106" s="12"/>
      <c r="M106" s="12"/>
    </row>
    <row r="107" spans="1:13" x14ac:dyDescent="0.25">
      <c r="A107" s="12"/>
      <c r="B107" s="12"/>
      <c r="C107" s="12"/>
      <c r="D107" s="12"/>
      <c r="E107" s="12"/>
      <c r="F107" s="12"/>
      <c r="G107" s="12"/>
      <c r="H107" s="47" t="s">
        <v>378</v>
      </c>
      <c r="I107" s="25">
        <f>SUMIFS(PCA!I:I,PCA!T:T,'Resumo por unidade'!H:H,PCA!V:V,"Sim")+SUMIFS('Detalhamento fracionamento'!I:I,'Detalhamento fracionamento'!T:T,'Resumo por unidade'!H:H,'Detalhamento fracionamento'!U:U,"Sim")</f>
        <v>5119.68</v>
      </c>
      <c r="J107" s="25">
        <v>62725.59</v>
      </c>
      <c r="K107" s="26">
        <f t="shared" si="7"/>
        <v>57605.909999999996</v>
      </c>
      <c r="L107" s="12"/>
      <c r="M107" s="12"/>
    </row>
    <row r="108" spans="1:13" x14ac:dyDescent="0.25">
      <c r="A108" s="12"/>
      <c r="B108" s="12"/>
      <c r="C108" s="12"/>
      <c r="D108" s="12"/>
      <c r="E108" s="12"/>
      <c r="F108" s="12"/>
      <c r="G108" s="12"/>
      <c r="H108" s="47" t="s">
        <v>513</v>
      </c>
      <c r="I108" s="25">
        <f>SUMIFS(PCA!I:I,PCA!T:T,'Resumo por unidade'!H:H,PCA!V:V,"Sim")+SUMIFS('Detalhamento fracionamento'!I:I,'Detalhamento fracionamento'!T:T,'Resumo por unidade'!H:H,'Detalhamento fracionamento'!U:U,"Sim")</f>
        <v>0</v>
      </c>
      <c r="J108" s="25">
        <v>62725.59</v>
      </c>
      <c r="K108" s="26">
        <f t="shared" si="7"/>
        <v>62725.59</v>
      </c>
      <c r="L108" s="12"/>
      <c r="M108" s="12"/>
    </row>
    <row r="109" spans="1:13" x14ac:dyDescent="0.25">
      <c r="A109" s="12"/>
      <c r="B109" s="12"/>
      <c r="C109" s="12"/>
      <c r="D109" s="12"/>
      <c r="E109" s="12"/>
      <c r="F109" s="12"/>
      <c r="G109" s="12"/>
      <c r="H109" s="47" t="s">
        <v>998</v>
      </c>
      <c r="I109" s="25">
        <f>SUMIFS(PCA!I:I,PCA!T:T,'Resumo por unidade'!H:H,PCA!V:V,"Sim")+SUMIFS('Detalhamento fracionamento'!I:I,'Detalhamento fracionamento'!T:T,'Resumo por unidade'!H:H,'Detalhamento fracionamento'!U:U,"Sim")</f>
        <v>1000</v>
      </c>
      <c r="J109" s="25">
        <v>62725.59</v>
      </c>
      <c r="K109" s="26">
        <f t="shared" si="7"/>
        <v>61725.59</v>
      </c>
      <c r="L109" s="12"/>
      <c r="M109" s="12"/>
    </row>
    <row r="110" spans="1:13" x14ac:dyDescent="0.25">
      <c r="A110" s="12"/>
      <c r="B110" s="12"/>
      <c r="C110" s="12"/>
      <c r="D110" s="12"/>
      <c r="E110" s="12"/>
      <c r="F110" s="12"/>
      <c r="G110" s="12"/>
      <c r="H110" s="47" t="s">
        <v>284</v>
      </c>
      <c r="I110" s="25">
        <f>SUMIFS(PCA!I:I,PCA!T:T,'Resumo por unidade'!H:H,PCA!V:V,"Sim")+SUMIFS('Detalhamento fracionamento'!I:I,'Detalhamento fracionamento'!T:T,'Resumo por unidade'!H:H,'Detalhamento fracionamento'!U:U,"Sim")</f>
        <v>0</v>
      </c>
      <c r="J110" s="25">
        <v>62725.59</v>
      </c>
      <c r="K110" s="26">
        <f t="shared" si="7"/>
        <v>62725.59</v>
      </c>
      <c r="L110" s="12"/>
      <c r="M110" s="12"/>
    </row>
    <row r="111" spans="1:13" x14ac:dyDescent="0.25">
      <c r="A111" s="12"/>
      <c r="B111" s="12"/>
      <c r="C111" s="12"/>
      <c r="D111" s="12"/>
      <c r="E111" s="12"/>
      <c r="F111" s="12"/>
      <c r="G111" s="12"/>
      <c r="H111" s="47" t="s">
        <v>488</v>
      </c>
      <c r="I111" s="25">
        <f>SUMIFS(PCA!I:I,PCA!T:T,'Resumo por unidade'!H:H,PCA!V:V,"Sim")+SUMIFS('Detalhamento fracionamento'!I:I,'Detalhamento fracionamento'!T:T,'Resumo por unidade'!H:H,'Detalhamento fracionamento'!U:U,"Sim")</f>
        <v>0</v>
      </c>
      <c r="J111" s="25">
        <v>62725.59</v>
      </c>
      <c r="K111" s="26">
        <f t="shared" si="7"/>
        <v>62725.59</v>
      </c>
      <c r="L111" s="12"/>
      <c r="M111" s="12"/>
    </row>
    <row r="112" spans="1:13" x14ac:dyDescent="0.25">
      <c r="A112" s="12"/>
      <c r="B112" s="12"/>
      <c r="C112" s="12"/>
      <c r="D112" s="12"/>
      <c r="E112" s="12"/>
      <c r="F112" s="12"/>
      <c r="G112" s="12"/>
      <c r="H112" s="47" t="s">
        <v>1061</v>
      </c>
      <c r="I112" s="25">
        <f>SUMIFS(PCA!I:I,PCA!T:T,'Resumo por unidade'!H:H,PCA!V:V,"Sim")+SUMIFS('Detalhamento fracionamento'!I:I,'Detalhamento fracionamento'!T:T,'Resumo por unidade'!H:H,'Detalhamento fracionamento'!U:U,"Sim")</f>
        <v>0</v>
      </c>
      <c r="J112" s="25">
        <v>62725.59</v>
      </c>
      <c r="K112" s="26">
        <f t="shared" si="7"/>
        <v>62725.59</v>
      </c>
      <c r="L112" s="12"/>
      <c r="M112" s="12"/>
    </row>
    <row r="113" spans="1:13" x14ac:dyDescent="0.25">
      <c r="A113" s="12"/>
      <c r="B113" s="12"/>
      <c r="C113" s="12"/>
      <c r="D113" s="12"/>
      <c r="E113" s="12"/>
      <c r="F113" s="12"/>
      <c r="G113" s="12"/>
      <c r="H113" s="47" t="s">
        <v>983</v>
      </c>
      <c r="I113" s="25">
        <f>SUMIFS(PCA!I:I,PCA!T:T,'Resumo por unidade'!H:H,PCA!V:V,"Sim")+SUMIFS('Detalhamento fracionamento'!I:I,'Detalhamento fracionamento'!T:T,'Resumo por unidade'!H:H,'Detalhamento fracionamento'!U:U,"Sim")</f>
        <v>1900</v>
      </c>
      <c r="J113" s="25">
        <v>62725.59</v>
      </c>
      <c r="K113" s="26">
        <f t="shared" si="7"/>
        <v>60825.59</v>
      </c>
      <c r="L113" s="12"/>
      <c r="M113" s="12"/>
    </row>
    <row r="114" spans="1:13" x14ac:dyDescent="0.25">
      <c r="A114" s="12"/>
      <c r="B114" s="12"/>
      <c r="C114" s="12"/>
      <c r="D114" s="12"/>
      <c r="E114" s="12"/>
      <c r="F114" s="12"/>
      <c r="G114" s="12"/>
      <c r="H114" s="47" t="s">
        <v>215</v>
      </c>
      <c r="I114" s="25">
        <f>SUMIFS(PCA!I:I,PCA!T:T,'Resumo por unidade'!H:H,PCA!V:V,"Sim")+SUMIFS('Detalhamento fracionamento'!I:I,'Detalhamento fracionamento'!T:T,'Resumo por unidade'!H:H,'Detalhamento fracionamento'!U:U,"Sim")</f>
        <v>0</v>
      </c>
      <c r="J114" s="25">
        <v>62725.59</v>
      </c>
      <c r="K114" s="26">
        <f t="shared" si="7"/>
        <v>62725.59</v>
      </c>
      <c r="L114" s="12"/>
      <c r="M114" s="12"/>
    </row>
    <row r="115" spans="1:13" x14ac:dyDescent="0.25">
      <c r="A115" s="12"/>
      <c r="B115" s="12"/>
      <c r="C115" s="12"/>
      <c r="D115" s="12"/>
      <c r="E115" s="12"/>
      <c r="F115" s="12"/>
      <c r="G115" s="12"/>
      <c r="H115" s="47" t="s">
        <v>775</v>
      </c>
      <c r="I115" s="25">
        <f>SUMIFS(PCA!I:I,PCA!T:T,'Resumo por unidade'!H:H,PCA!V:V,"Sim")+SUMIFS('Detalhamento fracionamento'!I:I,'Detalhamento fracionamento'!T:T,'Resumo por unidade'!H:H,'Detalhamento fracionamento'!U:U,"Sim")</f>
        <v>0</v>
      </c>
      <c r="J115" s="25">
        <v>62725.59</v>
      </c>
      <c r="K115" s="26">
        <f t="shared" si="7"/>
        <v>62725.59</v>
      </c>
      <c r="L115" s="12"/>
      <c r="M115" s="12"/>
    </row>
    <row r="116" spans="1:13" x14ac:dyDescent="0.25">
      <c r="A116" s="12"/>
      <c r="B116" s="12"/>
      <c r="C116" s="12"/>
      <c r="D116" s="12"/>
      <c r="E116" s="12"/>
      <c r="F116" s="12"/>
      <c r="G116" s="12"/>
      <c r="H116" s="47" t="s">
        <v>273</v>
      </c>
      <c r="I116" s="25">
        <f>SUMIFS(PCA!I:I,PCA!T:T,'Resumo por unidade'!H:H,PCA!V:V,"Sim")+SUMIFS('Detalhamento fracionamento'!I:I,'Detalhamento fracionamento'!T:T,'Resumo por unidade'!H:H,'Detalhamento fracionamento'!U:U,"Sim")</f>
        <v>0</v>
      </c>
      <c r="J116" s="25">
        <v>62725.59</v>
      </c>
      <c r="K116" s="26">
        <f t="shared" si="7"/>
        <v>62725.59</v>
      </c>
      <c r="L116" s="12"/>
      <c r="M116" s="12"/>
    </row>
    <row r="117" spans="1:13" x14ac:dyDescent="0.25">
      <c r="A117" s="12"/>
      <c r="B117" s="12"/>
      <c r="C117" s="12"/>
      <c r="D117" s="12"/>
      <c r="E117" s="12"/>
      <c r="F117" s="12"/>
      <c r="G117" s="12"/>
      <c r="H117" s="47" t="s">
        <v>766</v>
      </c>
      <c r="I117" s="25">
        <f>SUMIFS(PCA!I:I,PCA!T:T,'Resumo por unidade'!H:H,PCA!V:V,"Sim")+SUMIFS('Detalhamento fracionamento'!I:I,'Detalhamento fracionamento'!T:T,'Resumo por unidade'!H:H,'Detalhamento fracionamento'!U:U,"Sim")</f>
        <v>0</v>
      </c>
      <c r="J117" s="25">
        <v>62725.59</v>
      </c>
      <c r="K117" s="26">
        <f t="shared" si="7"/>
        <v>62725.59</v>
      </c>
      <c r="L117" s="12"/>
      <c r="M117" s="12"/>
    </row>
    <row r="118" spans="1:13" x14ac:dyDescent="0.25">
      <c r="A118" s="12"/>
      <c r="B118" s="12"/>
      <c r="C118" s="12"/>
      <c r="D118" s="12"/>
      <c r="E118" s="12"/>
      <c r="F118" s="12"/>
      <c r="G118" s="12"/>
      <c r="H118" s="47" t="s">
        <v>474</v>
      </c>
      <c r="I118" s="25">
        <f>SUMIFS(PCA!I:I,PCA!T:T,'Resumo por unidade'!H:H,PCA!V:V,"Sim")+SUMIFS('Detalhamento fracionamento'!I:I,'Detalhamento fracionamento'!T:T,'Resumo por unidade'!H:H,'Detalhamento fracionamento'!U:U,"Sim")</f>
        <v>0</v>
      </c>
      <c r="J118" s="25">
        <v>62725.59</v>
      </c>
      <c r="K118" s="26">
        <f t="shared" si="7"/>
        <v>62725.59</v>
      </c>
      <c r="L118" s="12"/>
      <c r="M118" s="12"/>
    </row>
    <row r="119" spans="1:13" x14ac:dyDescent="0.25">
      <c r="A119" s="12"/>
      <c r="B119" s="12"/>
      <c r="C119" s="12"/>
      <c r="D119" s="12"/>
      <c r="E119" s="12"/>
      <c r="F119" s="12"/>
      <c r="G119" s="12"/>
      <c r="H119" s="47" t="s">
        <v>633</v>
      </c>
      <c r="I119" s="25">
        <f>SUMIFS(PCA!I:I,PCA!T:T,'Resumo por unidade'!H:H,PCA!V:V,"Sim")+SUMIFS('Detalhamento fracionamento'!I:I,'Detalhamento fracionamento'!T:T,'Resumo por unidade'!H:H,'Detalhamento fracionamento'!U:U,"Sim")</f>
        <v>0</v>
      </c>
      <c r="J119" s="25">
        <v>62725.59</v>
      </c>
      <c r="K119" s="26">
        <f t="shared" si="7"/>
        <v>62725.59</v>
      </c>
      <c r="L119" s="12"/>
      <c r="M119" s="12"/>
    </row>
    <row r="120" spans="1:13" x14ac:dyDescent="0.25">
      <c r="A120" s="12"/>
      <c r="B120" s="12"/>
      <c r="C120" s="12"/>
      <c r="D120" s="12"/>
      <c r="E120" s="12"/>
      <c r="F120" s="12"/>
      <c r="G120" s="12"/>
      <c r="H120" s="47" t="s">
        <v>702</v>
      </c>
      <c r="I120" s="25">
        <f>SUMIFS(PCA!I:I,PCA!T:T,'Resumo por unidade'!H:H,PCA!V:V,"Sim")+SUMIFS('Detalhamento fracionamento'!I:I,'Detalhamento fracionamento'!T:T,'Resumo por unidade'!H:H,'Detalhamento fracionamento'!U:U,"Sim")</f>
        <v>16514.832276556135</v>
      </c>
      <c r="J120" s="25">
        <v>62725.59</v>
      </c>
      <c r="K120" s="26">
        <f t="shared" si="7"/>
        <v>46210.757723443865</v>
      </c>
      <c r="L120" s="12"/>
      <c r="M120" s="12"/>
    </row>
    <row r="121" spans="1:13" x14ac:dyDescent="0.25">
      <c r="A121" s="12"/>
      <c r="B121" s="12"/>
      <c r="C121" s="12"/>
      <c r="D121" s="12"/>
      <c r="E121" s="12"/>
      <c r="F121" s="12"/>
      <c r="G121" s="12"/>
      <c r="H121" s="47" t="s">
        <v>330</v>
      </c>
      <c r="I121" s="25">
        <f>SUMIFS(PCA!I:I,PCA!T:T,'Resumo por unidade'!H:H,PCA!V:V,"Sim")+SUMIFS('Detalhamento fracionamento'!I:I,'Detalhamento fracionamento'!T:T,'Resumo por unidade'!H:H,'Detalhamento fracionamento'!U:U,"Sim")</f>
        <v>0</v>
      </c>
      <c r="J121" s="25">
        <v>62725.59</v>
      </c>
      <c r="K121" s="26">
        <f t="shared" si="7"/>
        <v>62725.59</v>
      </c>
      <c r="L121" s="12"/>
      <c r="M121" s="12"/>
    </row>
    <row r="122" spans="1:13" x14ac:dyDescent="0.25">
      <c r="A122" s="12"/>
      <c r="B122" s="12"/>
      <c r="C122" s="12"/>
      <c r="D122" s="12"/>
      <c r="E122" s="12"/>
      <c r="F122" s="12"/>
      <c r="G122" s="12"/>
      <c r="H122" s="47" t="s">
        <v>40</v>
      </c>
      <c r="I122" s="25">
        <f>SUMIFS(PCA!I:I,PCA!T:T,'Resumo por unidade'!H:H,PCA!V:V,"Sim")+SUMIFS('Detalhamento fracionamento'!I:I,'Detalhamento fracionamento'!T:T,'Resumo por unidade'!H:H,'Detalhamento fracionamento'!U:U,"Sim")</f>
        <v>0</v>
      </c>
      <c r="J122" s="25">
        <v>62725.59</v>
      </c>
      <c r="K122" s="26">
        <f t="shared" ref="K122:K153" si="8">J122-I122</f>
        <v>62725.59</v>
      </c>
      <c r="L122" s="12"/>
      <c r="M122" s="12"/>
    </row>
    <row r="123" spans="1:13" x14ac:dyDescent="0.25">
      <c r="A123" s="12"/>
      <c r="B123" s="12"/>
      <c r="C123" s="12"/>
      <c r="D123" s="12"/>
      <c r="E123" s="12"/>
      <c r="F123" s="12"/>
      <c r="G123" s="12"/>
      <c r="H123" s="47" t="s">
        <v>537</v>
      </c>
      <c r="I123" s="25">
        <f>SUMIFS(PCA!I:I,PCA!T:T,'Resumo por unidade'!H:H,PCA!V:V,"Sim")+SUMIFS('Detalhamento fracionamento'!I:I,'Detalhamento fracionamento'!T:T,'Resumo por unidade'!H:H,'Detalhamento fracionamento'!U:U,"Sim")</f>
        <v>0</v>
      </c>
      <c r="J123" s="25">
        <v>62725.59</v>
      </c>
      <c r="K123" s="26">
        <f t="shared" si="8"/>
        <v>62725.59</v>
      </c>
      <c r="L123" s="12"/>
      <c r="M123" s="12"/>
    </row>
    <row r="124" spans="1:13" x14ac:dyDescent="0.25">
      <c r="A124" s="12"/>
      <c r="B124" s="12"/>
      <c r="C124" s="12"/>
      <c r="D124" s="12"/>
      <c r="E124" s="12"/>
      <c r="F124" s="12"/>
      <c r="G124" s="12"/>
      <c r="H124" s="47" t="s">
        <v>1002</v>
      </c>
      <c r="I124" s="25">
        <f>SUMIFS(PCA!I:I,PCA!T:T,'Resumo por unidade'!H:H,PCA!V:V,"Sim")+SUMIFS('Detalhamento fracionamento'!I:I,'Detalhamento fracionamento'!T:T,'Resumo por unidade'!H:H,'Detalhamento fracionamento'!U:U,"Sim")</f>
        <v>3000</v>
      </c>
      <c r="J124" s="25">
        <v>62725.59</v>
      </c>
      <c r="K124" s="26">
        <f t="shared" si="8"/>
        <v>59725.59</v>
      </c>
      <c r="L124" s="12"/>
      <c r="M124" s="12"/>
    </row>
    <row r="125" spans="1:13" x14ac:dyDescent="0.25">
      <c r="A125" s="12"/>
      <c r="B125" s="12"/>
      <c r="C125" s="12"/>
      <c r="D125" s="12"/>
      <c r="E125" s="12"/>
      <c r="F125" s="12"/>
      <c r="G125" s="12"/>
      <c r="H125" s="47" t="s">
        <v>808</v>
      </c>
      <c r="I125" s="25">
        <f>SUMIFS(PCA!I:I,PCA!T:T,'Resumo por unidade'!H:H,PCA!V:V,"Sim")+SUMIFS('Detalhamento fracionamento'!I:I,'Detalhamento fracionamento'!T:T,'Resumo por unidade'!H:H,'Detalhamento fracionamento'!U:U,"Sim")</f>
        <v>7976</v>
      </c>
      <c r="J125" s="25">
        <v>62725.59</v>
      </c>
      <c r="K125" s="26">
        <f t="shared" si="8"/>
        <v>54749.59</v>
      </c>
      <c r="L125" s="12"/>
      <c r="M125" s="12"/>
    </row>
    <row r="126" spans="1:13" x14ac:dyDescent="0.25">
      <c r="A126" s="12"/>
      <c r="B126" s="12"/>
      <c r="C126" s="12"/>
      <c r="D126" s="12"/>
      <c r="E126" s="12"/>
      <c r="F126" s="12"/>
      <c r="G126" s="12"/>
      <c r="H126" s="47" t="s">
        <v>953</v>
      </c>
      <c r="I126" s="25">
        <f>SUMIFS(PCA!I:I,PCA!T:T,'Resumo por unidade'!H:H,PCA!V:V,"Sim")+SUMIFS('Detalhamento fracionamento'!I:I,'Detalhamento fracionamento'!T:T,'Resumo por unidade'!H:H,'Detalhamento fracionamento'!U:U,"Sim")</f>
        <v>2890</v>
      </c>
      <c r="J126" s="25">
        <v>62725.59</v>
      </c>
      <c r="K126" s="26">
        <f t="shared" si="8"/>
        <v>59835.59</v>
      </c>
      <c r="L126" s="12"/>
      <c r="M126" s="12"/>
    </row>
    <row r="127" spans="1:13" x14ac:dyDescent="0.25">
      <c r="A127" s="12"/>
      <c r="B127" s="12"/>
      <c r="C127" s="12"/>
      <c r="D127" s="12"/>
      <c r="E127" s="12"/>
      <c r="F127" s="12"/>
      <c r="G127" s="12"/>
      <c r="H127" s="47" t="s">
        <v>233</v>
      </c>
      <c r="I127" s="25">
        <f>SUMIFS(PCA!I:I,PCA!T:T,'Resumo por unidade'!H:H,PCA!V:V,"Sim")+SUMIFS('Detalhamento fracionamento'!I:I,'Detalhamento fracionamento'!T:T,'Resumo por unidade'!H:H,'Detalhamento fracionamento'!U:U,"Sim")</f>
        <v>0</v>
      </c>
      <c r="J127" s="25">
        <v>62725.59</v>
      </c>
      <c r="K127" s="26">
        <f t="shared" si="8"/>
        <v>62725.59</v>
      </c>
      <c r="L127" s="12"/>
      <c r="M127" s="12"/>
    </row>
    <row r="128" spans="1:13" x14ac:dyDescent="0.25">
      <c r="A128" s="12"/>
      <c r="B128" s="12"/>
      <c r="C128" s="12"/>
      <c r="D128" s="12"/>
      <c r="E128" s="12"/>
      <c r="F128" s="12"/>
      <c r="G128" s="12"/>
      <c r="H128" s="47" t="s">
        <v>395</v>
      </c>
      <c r="I128" s="25">
        <f>SUMIFS(PCA!I:I,PCA!T:T,'Resumo por unidade'!H:H,PCA!V:V,"Sim")+SUMIFS('Detalhamento fracionamento'!I:I,'Detalhamento fracionamento'!T:T,'Resumo por unidade'!H:H,'Detalhamento fracionamento'!U:U,"Sim")</f>
        <v>0</v>
      </c>
      <c r="J128" s="25">
        <v>62725.59</v>
      </c>
      <c r="K128" s="26">
        <f t="shared" si="8"/>
        <v>62725.59</v>
      </c>
      <c r="L128" s="12"/>
      <c r="M128" s="12"/>
    </row>
    <row r="129" spans="1:13" x14ac:dyDescent="0.25">
      <c r="A129" s="12"/>
      <c r="B129" s="12"/>
      <c r="C129" s="12"/>
      <c r="D129" s="12"/>
      <c r="E129" s="12"/>
      <c r="F129" s="12"/>
      <c r="G129" s="12"/>
      <c r="H129" s="47" t="s">
        <v>411</v>
      </c>
      <c r="I129" s="25">
        <f>SUMIFS(PCA!I:I,PCA!T:T,'Resumo por unidade'!H:H,PCA!V:V,"Sim")+SUMIFS('Detalhamento fracionamento'!I:I,'Detalhamento fracionamento'!T:T,'Resumo por unidade'!H:H,'Detalhamento fracionamento'!U:U,"Sim")</f>
        <v>17940</v>
      </c>
      <c r="J129" s="25">
        <v>62725.59</v>
      </c>
      <c r="K129" s="26">
        <f t="shared" si="8"/>
        <v>44785.59</v>
      </c>
      <c r="L129" s="12"/>
      <c r="M129" s="12"/>
    </row>
    <row r="130" spans="1:13" x14ac:dyDescent="0.25">
      <c r="A130" s="12"/>
      <c r="B130" s="12"/>
      <c r="C130" s="12"/>
      <c r="D130" s="12"/>
      <c r="E130" s="12"/>
      <c r="F130" s="12"/>
      <c r="G130" s="12"/>
      <c r="H130" s="47" t="s">
        <v>399</v>
      </c>
      <c r="I130" s="25">
        <f>SUMIFS(PCA!I:I,PCA!T:T,'Resumo por unidade'!H:H,PCA!V:V,"Sim")+SUMIFS('Detalhamento fracionamento'!I:I,'Detalhamento fracionamento'!T:T,'Resumo por unidade'!H:H,'Detalhamento fracionamento'!U:U,"Sim")</f>
        <v>0</v>
      </c>
      <c r="J130" s="25">
        <v>62725.59</v>
      </c>
      <c r="K130" s="26">
        <f t="shared" si="8"/>
        <v>62725.59</v>
      </c>
      <c r="L130" s="12"/>
      <c r="M130" s="12"/>
    </row>
    <row r="131" spans="1:13" x14ac:dyDescent="0.25">
      <c r="A131" s="12"/>
      <c r="B131" s="12"/>
      <c r="C131" s="12"/>
      <c r="D131" s="12"/>
      <c r="E131" s="12"/>
      <c r="F131" s="12"/>
      <c r="G131" s="12"/>
      <c r="H131" s="47" t="s">
        <v>45</v>
      </c>
      <c r="I131" s="25">
        <f>SUMIFS(PCA!I:I,PCA!T:T,'Resumo por unidade'!H:H,PCA!V:V,"Sim")+SUMIFS('Detalhamento fracionamento'!I:I,'Detalhamento fracionamento'!T:T,'Resumo por unidade'!H:H,'Detalhamento fracionamento'!U:U,"Sim")</f>
        <v>0</v>
      </c>
      <c r="J131" s="25">
        <v>62725.59</v>
      </c>
      <c r="K131" s="26">
        <f t="shared" si="8"/>
        <v>62725.59</v>
      </c>
      <c r="L131" s="12"/>
      <c r="M131" s="12"/>
    </row>
    <row r="132" spans="1:13" x14ac:dyDescent="0.25">
      <c r="A132" s="12"/>
      <c r="B132" s="12"/>
      <c r="C132" s="12"/>
      <c r="D132" s="12"/>
      <c r="E132" s="12"/>
      <c r="F132" s="12"/>
      <c r="G132" s="12"/>
      <c r="H132" s="47" t="s">
        <v>142</v>
      </c>
      <c r="I132" s="25">
        <f>SUMIFS(PCA!I:I,PCA!T:T,'Resumo por unidade'!H:H,PCA!V:V,"Sim")+SUMIFS('Detalhamento fracionamento'!I:I,'Detalhamento fracionamento'!T:T,'Resumo por unidade'!H:H,'Detalhamento fracionamento'!U:U,"Sim")</f>
        <v>0</v>
      </c>
      <c r="J132" s="25">
        <v>62725.59</v>
      </c>
      <c r="K132" s="26">
        <f t="shared" si="8"/>
        <v>62725.59</v>
      </c>
      <c r="L132" s="12"/>
      <c r="M132" s="12"/>
    </row>
    <row r="133" spans="1:13" x14ac:dyDescent="0.25">
      <c r="A133" s="12"/>
      <c r="B133" s="12"/>
      <c r="C133" s="12"/>
      <c r="D133" s="12"/>
      <c r="E133" s="12"/>
      <c r="F133" s="12"/>
      <c r="G133" s="12"/>
      <c r="H133" s="47" t="s">
        <v>621</v>
      </c>
      <c r="I133" s="25">
        <f>SUMIFS(PCA!I:I,PCA!T:T,'Resumo por unidade'!H:H,PCA!V:V,"Sim")+SUMIFS('Detalhamento fracionamento'!I:I,'Detalhamento fracionamento'!T:T,'Resumo por unidade'!H:H,'Detalhamento fracionamento'!U:U,"Sim")</f>
        <v>0</v>
      </c>
      <c r="J133" s="25">
        <v>62725.59</v>
      </c>
      <c r="K133" s="26">
        <f t="shared" si="8"/>
        <v>62725.59</v>
      </c>
      <c r="L133" s="12"/>
      <c r="M133" s="12"/>
    </row>
    <row r="134" spans="1:13" x14ac:dyDescent="0.25">
      <c r="A134" s="12"/>
      <c r="B134" s="12"/>
      <c r="C134" s="12"/>
      <c r="D134" s="12"/>
      <c r="E134" s="12"/>
      <c r="F134" s="12"/>
      <c r="G134" s="12"/>
      <c r="H134" s="47" t="s">
        <v>826</v>
      </c>
      <c r="I134" s="25">
        <f>SUMIFS(PCA!I:I,PCA!T:T,'Resumo por unidade'!H:H,PCA!V:V,"Sim")+SUMIFS('Detalhamento fracionamento'!I:I,'Detalhamento fracionamento'!T:T,'Resumo por unidade'!H:H,'Detalhamento fracionamento'!U:U,"Sim")</f>
        <v>500</v>
      </c>
      <c r="J134" s="25">
        <v>62725.59</v>
      </c>
      <c r="K134" s="26">
        <f t="shared" si="8"/>
        <v>62225.59</v>
      </c>
      <c r="L134" s="12"/>
      <c r="M134" s="12"/>
    </row>
    <row r="135" spans="1:13" x14ac:dyDescent="0.25">
      <c r="A135" s="12"/>
      <c r="B135" s="12"/>
      <c r="C135" s="12"/>
      <c r="D135" s="12"/>
      <c r="E135" s="12"/>
      <c r="F135" s="12"/>
      <c r="G135" s="12"/>
      <c r="H135" s="47" t="s">
        <v>358</v>
      </c>
      <c r="I135" s="25">
        <f>SUMIFS(PCA!I:I,PCA!T:T,'Resumo por unidade'!H:H,PCA!V:V,"Sim")+SUMIFS('Detalhamento fracionamento'!I:I,'Detalhamento fracionamento'!T:T,'Resumo por unidade'!H:H,'Detalhamento fracionamento'!U:U,"Sim")</f>
        <v>0</v>
      </c>
      <c r="J135" s="25">
        <v>62725.59</v>
      </c>
      <c r="K135" s="26">
        <f t="shared" si="8"/>
        <v>62725.59</v>
      </c>
      <c r="L135" s="12"/>
      <c r="M135" s="12"/>
    </row>
    <row r="136" spans="1:13" x14ac:dyDescent="0.25">
      <c r="A136" s="12"/>
      <c r="B136" s="12"/>
      <c r="C136" s="12"/>
      <c r="D136" s="12"/>
      <c r="E136" s="12"/>
      <c r="F136" s="12"/>
      <c r="G136" s="12"/>
      <c r="H136" s="47" t="s">
        <v>542</v>
      </c>
      <c r="I136" s="25">
        <f>SUMIFS(PCA!I:I,PCA!T:T,'Resumo por unidade'!H:H,PCA!V:V,"Sim")+SUMIFS('Detalhamento fracionamento'!I:I,'Detalhamento fracionamento'!T:T,'Resumo por unidade'!H:H,'Detalhamento fracionamento'!U:U,"Sim")</f>
        <v>0</v>
      </c>
      <c r="J136" s="25">
        <v>62725.59</v>
      </c>
      <c r="K136" s="26">
        <f t="shared" si="8"/>
        <v>62725.59</v>
      </c>
      <c r="L136" s="12"/>
      <c r="M136" s="12"/>
    </row>
    <row r="137" spans="1:13" x14ac:dyDescent="0.25">
      <c r="A137" s="12"/>
      <c r="B137" s="12"/>
      <c r="C137" s="12"/>
      <c r="D137" s="12"/>
      <c r="E137" s="12"/>
      <c r="F137" s="12"/>
      <c r="G137" s="12"/>
      <c r="H137" s="47" t="s">
        <v>352</v>
      </c>
      <c r="I137" s="25">
        <f>SUMIFS(PCA!I:I,PCA!T:T,'Resumo por unidade'!H:H,PCA!V:V,"Sim")+SUMIFS('Detalhamento fracionamento'!I:I,'Detalhamento fracionamento'!T:T,'Resumo por unidade'!H:H,'Detalhamento fracionamento'!U:U,"Sim")</f>
        <v>0</v>
      </c>
      <c r="J137" s="25">
        <v>62725.59</v>
      </c>
      <c r="K137" s="26">
        <f t="shared" si="8"/>
        <v>62725.59</v>
      </c>
      <c r="L137" s="12"/>
      <c r="M137" s="12"/>
    </row>
    <row r="138" spans="1:13" x14ac:dyDescent="0.25">
      <c r="A138" s="12"/>
      <c r="B138" s="12"/>
      <c r="C138" s="12"/>
      <c r="D138" s="12"/>
      <c r="E138" s="12"/>
      <c r="F138" s="12"/>
      <c r="G138" s="12"/>
      <c r="H138" s="47" t="s">
        <v>595</v>
      </c>
      <c r="I138" s="25">
        <f>SUMIFS(PCA!I:I,PCA!T:T,'Resumo por unidade'!H:H,PCA!V:V,"Sim")+SUMIFS('Detalhamento fracionamento'!I:I,'Detalhamento fracionamento'!T:T,'Resumo por unidade'!H:H,'Detalhamento fracionamento'!U:U,"Sim")</f>
        <v>8846.68</v>
      </c>
      <c r="J138" s="25">
        <v>62725.59</v>
      </c>
      <c r="K138" s="26">
        <f t="shared" si="8"/>
        <v>53878.909999999996</v>
      </c>
      <c r="L138" s="12"/>
      <c r="M138" s="12"/>
    </row>
    <row r="139" spans="1:13" x14ac:dyDescent="0.25">
      <c r="A139" s="12"/>
      <c r="B139" s="12"/>
      <c r="C139" s="12"/>
      <c r="D139" s="12"/>
      <c r="E139" s="12"/>
      <c r="F139" s="12"/>
      <c r="G139" s="12"/>
      <c r="H139" s="47" t="s">
        <v>495</v>
      </c>
      <c r="I139" s="25">
        <f>SUMIFS(PCA!I:I,PCA!T:T,'Resumo por unidade'!H:H,PCA!V:V,"Sim")+SUMIFS('Detalhamento fracionamento'!I:I,'Detalhamento fracionamento'!T:T,'Resumo por unidade'!H:H,'Detalhamento fracionamento'!U:U,"Sim")</f>
        <v>0</v>
      </c>
      <c r="J139" s="25">
        <v>62725.59</v>
      </c>
      <c r="K139" s="26">
        <f t="shared" si="8"/>
        <v>62725.59</v>
      </c>
      <c r="L139" s="12"/>
      <c r="M139" s="12"/>
    </row>
    <row r="140" spans="1:13" x14ac:dyDescent="0.25">
      <c r="A140" s="12"/>
      <c r="B140" s="12"/>
      <c r="C140" s="12"/>
      <c r="D140" s="12"/>
      <c r="E140" s="12"/>
      <c r="F140" s="12"/>
      <c r="G140" s="12"/>
      <c r="H140" s="47" t="s">
        <v>571</v>
      </c>
      <c r="I140" s="25">
        <f>SUMIFS(PCA!I:I,PCA!T:T,'Resumo por unidade'!H:H,PCA!V:V,"Sim")+SUMIFS('Detalhamento fracionamento'!I:I,'Detalhamento fracionamento'!T:T,'Resumo por unidade'!H:H,'Detalhamento fracionamento'!U:U,"Sim")</f>
        <v>0</v>
      </c>
      <c r="J140" s="25">
        <v>62725.59</v>
      </c>
      <c r="K140" s="26">
        <f t="shared" si="8"/>
        <v>62725.59</v>
      </c>
      <c r="L140" s="12"/>
      <c r="M140" s="12"/>
    </row>
    <row r="141" spans="1:13" x14ac:dyDescent="0.25">
      <c r="A141" s="12"/>
      <c r="B141" s="12"/>
      <c r="C141" s="12"/>
      <c r="D141" s="12"/>
      <c r="E141" s="12"/>
      <c r="F141" s="12"/>
      <c r="G141" s="12"/>
      <c r="H141" s="47" t="s">
        <v>508</v>
      </c>
      <c r="I141" s="25">
        <f>SUMIFS(PCA!I:I,PCA!T:T,'Resumo por unidade'!H:H,PCA!V:V,"Sim")+SUMIFS('Detalhamento fracionamento'!I:I,'Detalhamento fracionamento'!T:T,'Resumo por unidade'!H:H,'Detalhamento fracionamento'!U:U,"Sim")</f>
        <v>0</v>
      </c>
      <c r="J141" s="25">
        <v>62725.59</v>
      </c>
      <c r="K141" s="26">
        <f t="shared" si="8"/>
        <v>62725.59</v>
      </c>
      <c r="L141" s="12"/>
      <c r="M141" s="12"/>
    </row>
    <row r="142" spans="1:13" x14ac:dyDescent="0.25">
      <c r="A142" s="12"/>
      <c r="B142" s="12"/>
      <c r="C142" s="12"/>
      <c r="D142" s="12"/>
      <c r="E142" s="12"/>
      <c r="F142" s="12"/>
      <c r="G142" s="12"/>
      <c r="H142" s="47" t="s">
        <v>554</v>
      </c>
      <c r="I142" s="25">
        <f>SUMIFS(PCA!I:I,PCA!T:T,'Resumo por unidade'!H:H,PCA!V:V,"Sim")+SUMIFS('Detalhamento fracionamento'!I:I,'Detalhamento fracionamento'!T:T,'Resumo por unidade'!H:H,'Detalhamento fracionamento'!U:U,"Sim")</f>
        <v>0</v>
      </c>
      <c r="J142" s="25">
        <v>62725.59</v>
      </c>
      <c r="K142" s="26">
        <f t="shared" si="8"/>
        <v>62725.59</v>
      </c>
      <c r="L142" s="12"/>
      <c r="M142" s="12"/>
    </row>
    <row r="143" spans="1:13" x14ac:dyDescent="0.25">
      <c r="A143" s="12"/>
      <c r="B143" s="12"/>
      <c r="C143" s="12"/>
      <c r="D143" s="12"/>
      <c r="E143" s="12"/>
      <c r="F143" s="12"/>
      <c r="G143" s="12"/>
      <c r="H143" s="47" t="s">
        <v>461</v>
      </c>
      <c r="I143" s="25">
        <f>SUMIFS(PCA!I:I,PCA!T:T,'Resumo por unidade'!H:H,PCA!V:V,"Sim")+SUMIFS('Detalhamento fracionamento'!I:I,'Detalhamento fracionamento'!T:T,'Resumo por unidade'!H:H,'Detalhamento fracionamento'!U:U,"Sim")</f>
        <v>0</v>
      </c>
      <c r="J143" s="25">
        <v>62725.59</v>
      </c>
      <c r="K143" s="26">
        <f t="shared" si="8"/>
        <v>62725.59</v>
      </c>
      <c r="L143" s="12"/>
      <c r="M143" s="12"/>
    </row>
    <row r="144" spans="1:13" x14ac:dyDescent="0.25">
      <c r="A144" s="12"/>
      <c r="B144" s="12"/>
      <c r="C144" s="12"/>
      <c r="D144" s="12"/>
      <c r="E144" s="12"/>
      <c r="F144" s="12"/>
      <c r="G144" s="12"/>
      <c r="H144" s="47" t="s">
        <v>610</v>
      </c>
      <c r="I144" s="25">
        <f>SUMIFS(PCA!I:I,PCA!T:T,'Resumo por unidade'!H:H,PCA!V:V,"Sim")+SUMIFS('Detalhamento fracionamento'!I:I,'Detalhamento fracionamento'!T:T,'Resumo por unidade'!H:H,'Detalhamento fracionamento'!U:U,"Sim")</f>
        <v>0</v>
      </c>
      <c r="J144" s="25">
        <v>62725.59</v>
      </c>
      <c r="K144" s="26">
        <f t="shared" si="8"/>
        <v>62725.59</v>
      </c>
      <c r="L144" s="12"/>
      <c r="M144" s="12"/>
    </row>
    <row r="145" spans="1:13" x14ac:dyDescent="0.25">
      <c r="A145" s="12"/>
      <c r="B145" s="12"/>
      <c r="C145" s="12"/>
      <c r="D145" s="12"/>
      <c r="E145" s="12"/>
      <c r="F145" s="12"/>
      <c r="G145" s="12"/>
      <c r="H145" s="47" t="s">
        <v>456</v>
      </c>
      <c r="I145" s="25">
        <f>SUMIFS(PCA!I:I,PCA!T:T,'Resumo por unidade'!H:H,PCA!V:V,"Sim")+SUMIFS('Detalhamento fracionamento'!I:I,'Detalhamento fracionamento'!T:T,'Resumo por unidade'!H:H,'Detalhamento fracionamento'!U:U,"Sim")</f>
        <v>0</v>
      </c>
      <c r="J145" s="25">
        <v>62725.59</v>
      </c>
      <c r="K145" s="26">
        <f t="shared" si="8"/>
        <v>62725.59</v>
      </c>
      <c r="L145" s="12"/>
      <c r="M145" s="12"/>
    </row>
    <row r="146" spans="1:13" x14ac:dyDescent="0.25">
      <c r="A146" s="12"/>
      <c r="B146" s="12"/>
      <c r="C146" s="12"/>
      <c r="D146" s="12"/>
      <c r="E146" s="12"/>
      <c r="F146" s="12"/>
      <c r="G146" s="12"/>
      <c r="H146" s="47" t="s">
        <v>500</v>
      </c>
      <c r="I146" s="25">
        <f>SUMIFS(PCA!I:I,PCA!T:T,'Resumo por unidade'!H:H,PCA!V:V,"Sim")+SUMIFS('Detalhamento fracionamento'!I:I,'Detalhamento fracionamento'!T:T,'Resumo por unidade'!H:H,'Detalhamento fracionamento'!U:U,"Sim")</f>
        <v>0</v>
      </c>
      <c r="J146" s="25">
        <v>62725.59</v>
      </c>
      <c r="K146" s="26">
        <f t="shared" si="8"/>
        <v>62725.59</v>
      </c>
      <c r="L146" s="12"/>
      <c r="M146" s="12"/>
    </row>
    <row r="147" spans="1:13" x14ac:dyDescent="0.25">
      <c r="A147" s="12"/>
      <c r="B147" s="12"/>
      <c r="C147" s="12"/>
      <c r="D147" s="12"/>
      <c r="E147" s="12"/>
      <c r="F147" s="12"/>
      <c r="G147" s="12"/>
      <c r="H147" s="47" t="s">
        <v>958</v>
      </c>
      <c r="I147" s="25">
        <f>SUMIFS(PCA!I:I,PCA!T:T,'Resumo por unidade'!H:H,PCA!V:V,"Sim")+SUMIFS('Detalhamento fracionamento'!I:I,'Detalhamento fracionamento'!T:T,'Resumo por unidade'!H:H,'Detalhamento fracionamento'!U:U,"Sim")</f>
        <v>1642.747839033872</v>
      </c>
      <c r="J147" s="25">
        <v>62725.59</v>
      </c>
      <c r="K147" s="26">
        <f t="shared" si="8"/>
        <v>61082.842160966124</v>
      </c>
      <c r="L147" s="12"/>
      <c r="M147" s="12"/>
    </row>
    <row r="148" spans="1:13" x14ac:dyDescent="0.25">
      <c r="A148" s="12"/>
      <c r="B148" s="12"/>
      <c r="C148" s="12"/>
      <c r="D148" s="12"/>
      <c r="E148" s="12"/>
      <c r="F148" s="12"/>
      <c r="G148" s="12"/>
      <c r="H148" s="47" t="s">
        <v>956</v>
      </c>
      <c r="I148" s="25">
        <f>SUMIFS(PCA!I:I,PCA!T:T,'Resumo por unidade'!H:H,PCA!V:V,"Sim")+SUMIFS('Detalhamento fracionamento'!I:I,'Detalhamento fracionamento'!T:T,'Resumo por unidade'!H:H,'Detalhamento fracionamento'!U:U,"Sim")</f>
        <v>8685.2227139253009</v>
      </c>
      <c r="J148" s="25">
        <v>62725.59</v>
      </c>
      <c r="K148" s="26">
        <f t="shared" si="8"/>
        <v>54040.367286074696</v>
      </c>
      <c r="L148" s="12"/>
      <c r="M148" s="12"/>
    </row>
    <row r="149" spans="1:13" x14ac:dyDescent="0.25">
      <c r="A149" s="12"/>
      <c r="B149" s="12"/>
      <c r="C149" s="12"/>
      <c r="D149" s="12"/>
      <c r="E149" s="12"/>
      <c r="F149" s="12"/>
      <c r="G149" s="12"/>
      <c r="H149" s="47" t="s">
        <v>957</v>
      </c>
      <c r="I149" s="25">
        <f>SUMIFS(PCA!I:I,PCA!T:T,'Resumo por unidade'!H:H,PCA!V:V,"Sim")+SUMIFS('Detalhamento fracionamento'!I:I,'Detalhamento fracionamento'!T:T,'Resumo por unidade'!H:H,'Detalhamento fracionamento'!U:U,"Sim")</f>
        <v>188.593407502378</v>
      </c>
      <c r="J149" s="25">
        <v>62725.59</v>
      </c>
      <c r="K149" s="26">
        <f t="shared" si="8"/>
        <v>62536.99659249762</v>
      </c>
      <c r="L149" s="12"/>
      <c r="M149" s="12"/>
    </row>
    <row r="150" spans="1:13" x14ac:dyDescent="0.25">
      <c r="A150" s="12"/>
      <c r="B150" s="12"/>
      <c r="C150" s="12"/>
      <c r="D150" s="12"/>
      <c r="E150" s="12"/>
      <c r="F150" s="12"/>
      <c r="G150" s="12"/>
      <c r="H150" s="47" t="s">
        <v>955</v>
      </c>
      <c r="I150" s="25">
        <f>SUMIFS(PCA!I:I,PCA!T:T,'Resumo por unidade'!H:H,PCA!V:V,"Sim")+SUMIFS('Detalhamento fracionamento'!I:I,'Detalhamento fracionamento'!T:T,'Resumo por unidade'!H:H,'Detalhamento fracionamento'!U:U,"Sim")</f>
        <v>9057.4465445220994</v>
      </c>
      <c r="J150" s="25">
        <v>62725.59</v>
      </c>
      <c r="K150" s="26">
        <f t="shared" si="8"/>
        <v>53668.143455477897</v>
      </c>
      <c r="L150" s="12"/>
      <c r="M150" s="12"/>
    </row>
    <row r="151" spans="1:13" x14ac:dyDescent="0.25">
      <c r="A151" s="12"/>
      <c r="B151" s="12"/>
      <c r="C151" s="12"/>
      <c r="D151" s="12"/>
      <c r="E151" s="12"/>
      <c r="F151" s="12"/>
      <c r="G151" s="12"/>
      <c r="H151" s="47" t="s">
        <v>679</v>
      </c>
      <c r="I151" s="25">
        <f>SUMIFS(PCA!I:I,PCA!T:T,'Resumo por unidade'!H:H,PCA!V:V,"Sim")+SUMIFS('Detalhamento fracionamento'!I:I,'Detalhamento fracionamento'!T:T,'Resumo por unidade'!H:H,'Detalhamento fracionamento'!U:U,"Sim")</f>
        <v>95.123867819181996</v>
      </c>
      <c r="J151" s="25">
        <v>62725.59</v>
      </c>
      <c r="K151" s="26">
        <f t="shared" si="8"/>
        <v>62630.466132180816</v>
      </c>
      <c r="L151" s="12"/>
      <c r="M151" s="12"/>
    </row>
    <row r="152" spans="1:13" x14ac:dyDescent="0.25">
      <c r="A152" s="12"/>
      <c r="B152" s="12"/>
      <c r="C152" s="12"/>
      <c r="D152" s="12"/>
      <c r="E152" s="12"/>
      <c r="F152" s="12"/>
      <c r="G152" s="12"/>
      <c r="H152" s="47" t="s">
        <v>466</v>
      </c>
      <c r="I152" s="25">
        <f>SUMIFS(PCA!I:I,PCA!T:T,'Resumo por unidade'!H:H,PCA!V:V,"Sim")+SUMIFS('Detalhamento fracionamento'!I:I,'Detalhamento fracionamento'!T:T,'Resumo por unidade'!H:H,'Detalhamento fracionamento'!U:U,"Sim")</f>
        <v>0</v>
      </c>
      <c r="J152" s="25">
        <v>62725.59</v>
      </c>
      <c r="K152" s="26">
        <f t="shared" si="8"/>
        <v>62725.59</v>
      </c>
      <c r="L152" s="12"/>
      <c r="M152" s="12"/>
    </row>
    <row r="153" spans="1:13" x14ac:dyDescent="0.25">
      <c r="A153" s="12"/>
      <c r="B153" s="12"/>
      <c r="C153" s="12"/>
      <c r="D153" s="12"/>
      <c r="E153" s="12"/>
      <c r="F153" s="12"/>
      <c r="G153" s="12"/>
      <c r="H153" s="47" t="s">
        <v>663</v>
      </c>
      <c r="I153" s="25">
        <f>SUMIFS(PCA!I:I,PCA!T:T,'Resumo por unidade'!H:H,PCA!V:V,"Sim")+SUMIFS('Detalhamento fracionamento'!I:I,'Detalhamento fracionamento'!T:T,'Resumo por unidade'!H:H,'Detalhamento fracionamento'!U:U,"Sim")</f>
        <v>0</v>
      </c>
      <c r="J153" s="25">
        <v>62725.59</v>
      </c>
      <c r="K153" s="26">
        <f t="shared" si="8"/>
        <v>62725.59</v>
      </c>
      <c r="L153" s="12"/>
      <c r="M153" s="12"/>
    </row>
    <row r="154" spans="1:13" x14ac:dyDescent="0.25">
      <c r="A154" s="12"/>
      <c r="B154" s="12"/>
      <c r="C154" s="12"/>
      <c r="D154" s="12"/>
      <c r="E154" s="12"/>
      <c r="F154" s="12"/>
      <c r="G154" s="12"/>
      <c r="H154" s="47" t="s">
        <v>580</v>
      </c>
      <c r="I154" s="25">
        <f>SUMIFS(PCA!I:I,PCA!T:T,'Resumo por unidade'!H:H,PCA!V:V,"Sim")+SUMIFS('Detalhamento fracionamento'!I:I,'Detalhamento fracionamento'!T:T,'Resumo por unidade'!H:H,'Detalhamento fracionamento'!U:U,"Sim")</f>
        <v>0</v>
      </c>
      <c r="J154" s="25">
        <v>62725.59</v>
      </c>
      <c r="K154" s="26">
        <f t="shared" ref="K154:K180" si="9">J154-I154</f>
        <v>62725.59</v>
      </c>
      <c r="L154" s="12"/>
      <c r="M154" s="12"/>
    </row>
    <row r="155" spans="1:13" x14ac:dyDescent="0.25">
      <c r="A155" s="12"/>
      <c r="B155" s="12"/>
      <c r="C155" s="12"/>
      <c r="D155" s="12"/>
      <c r="E155" s="12"/>
      <c r="F155" s="12"/>
      <c r="G155" s="12"/>
      <c r="H155" s="47" t="s">
        <v>524</v>
      </c>
      <c r="I155" s="25">
        <f>SUMIFS(PCA!I:I,PCA!T:T,'Resumo por unidade'!H:H,PCA!V:V,"Sim")+SUMIFS('Detalhamento fracionamento'!I:I,'Detalhamento fracionamento'!T:T,'Resumo por unidade'!H:H,'Detalhamento fracionamento'!U:U,"Sim")</f>
        <v>0</v>
      </c>
      <c r="J155" s="25">
        <v>62725.59</v>
      </c>
      <c r="K155" s="26">
        <f t="shared" si="9"/>
        <v>62725.59</v>
      </c>
      <c r="L155" s="12"/>
      <c r="M155" s="12"/>
    </row>
    <row r="156" spans="1:13" x14ac:dyDescent="0.25">
      <c r="A156" s="12"/>
      <c r="B156" s="12"/>
      <c r="C156" s="12"/>
      <c r="D156" s="12"/>
      <c r="E156" s="12"/>
      <c r="F156" s="12"/>
      <c r="G156" s="12"/>
      <c r="H156" s="47" t="s">
        <v>483</v>
      </c>
      <c r="I156" s="25">
        <f>SUMIFS(PCA!I:I,PCA!T:T,'Resumo por unidade'!H:H,PCA!V:V,"Sim")+SUMIFS('Detalhamento fracionamento'!I:I,'Detalhamento fracionamento'!T:T,'Resumo por unidade'!H:H,'Detalhamento fracionamento'!U:U,"Sim")</f>
        <v>0</v>
      </c>
      <c r="J156" s="25">
        <v>62725.59</v>
      </c>
      <c r="K156" s="26">
        <f t="shared" si="9"/>
        <v>62725.59</v>
      </c>
      <c r="L156" s="12"/>
      <c r="M156" s="12"/>
    </row>
    <row r="157" spans="1:13" x14ac:dyDescent="0.25">
      <c r="A157" s="12"/>
      <c r="B157" s="12"/>
      <c r="C157" s="12"/>
      <c r="D157" s="12"/>
      <c r="E157" s="12"/>
      <c r="F157" s="12"/>
      <c r="G157" s="12"/>
      <c r="H157" s="47" t="s">
        <v>959</v>
      </c>
      <c r="I157" s="25">
        <f>SUMIFS(PCA!I:I,PCA!T:T,'Resumo por unidade'!H:H,PCA!V:V,"Sim")+SUMIFS('Detalhamento fracionamento'!I:I,'Detalhamento fracionamento'!T:T,'Resumo por unidade'!H:H,'Detalhamento fracionamento'!U:U,"Sim")</f>
        <v>330.86562719715397</v>
      </c>
      <c r="J157" s="25">
        <v>62725.59</v>
      </c>
      <c r="K157" s="26">
        <f t="shared" si="9"/>
        <v>62394.724372802841</v>
      </c>
      <c r="L157" s="12"/>
      <c r="M157" s="12"/>
    </row>
    <row r="158" spans="1:13" x14ac:dyDescent="0.25">
      <c r="A158" s="12"/>
      <c r="B158" s="12"/>
      <c r="C158" s="12"/>
      <c r="D158" s="12"/>
      <c r="E158" s="12"/>
      <c r="F158" s="12"/>
      <c r="G158" s="12"/>
      <c r="H158" s="47" t="s">
        <v>175</v>
      </c>
      <c r="I158" s="25">
        <f>SUMIFS(PCA!I:I,PCA!T:T,'Resumo por unidade'!H:H,PCA!V:V,"Sim")+SUMIFS('Detalhamento fracionamento'!I:I,'Detalhamento fracionamento'!T:T,'Resumo por unidade'!H:H,'Detalhamento fracionamento'!U:U,"Sim")</f>
        <v>0</v>
      </c>
      <c r="J158" s="25">
        <v>62725.59</v>
      </c>
      <c r="K158" s="26">
        <f t="shared" si="9"/>
        <v>62725.59</v>
      </c>
      <c r="L158" s="12"/>
      <c r="M158" s="12"/>
    </row>
    <row r="159" spans="1:13" x14ac:dyDescent="0.25">
      <c r="A159" s="12"/>
      <c r="B159" s="12"/>
      <c r="C159" s="12"/>
      <c r="D159" s="12"/>
      <c r="E159" s="12"/>
      <c r="F159" s="12"/>
      <c r="G159" s="12"/>
      <c r="H159" s="47" t="s">
        <v>289</v>
      </c>
      <c r="I159" s="25">
        <f>SUMIFS(PCA!I:I,PCA!T:T,'Resumo por unidade'!H:H,PCA!V:V,"Sim")+SUMIFS('Detalhamento fracionamento'!I:I,'Detalhamento fracionamento'!T:T,'Resumo por unidade'!H:H,'Detalhamento fracionamento'!U:U,"Sim")</f>
        <v>0</v>
      </c>
      <c r="J159" s="25">
        <v>62725.59</v>
      </c>
      <c r="K159" s="26">
        <f t="shared" si="9"/>
        <v>62725.59</v>
      </c>
      <c r="L159" s="12"/>
      <c r="M159" s="12"/>
    </row>
    <row r="160" spans="1:13" x14ac:dyDescent="0.25">
      <c r="A160" s="12"/>
      <c r="B160" s="12"/>
      <c r="C160" s="12"/>
      <c r="D160" s="12"/>
      <c r="E160" s="12"/>
      <c r="F160" s="12"/>
      <c r="G160" s="12"/>
      <c r="H160" s="47" t="s">
        <v>817</v>
      </c>
      <c r="I160" s="25">
        <f>SUMIFS(PCA!I:I,PCA!T:T,'Resumo por unidade'!H:H,PCA!V:V,"Sim")+SUMIFS('Detalhamento fracionamento'!I:I,'Detalhamento fracionamento'!T:T,'Resumo por unidade'!H:H,'Detalhamento fracionamento'!U:U,"Sim")</f>
        <v>12000</v>
      </c>
      <c r="J160" s="25">
        <v>62725.59</v>
      </c>
      <c r="K160" s="26">
        <f t="shared" si="9"/>
        <v>50725.59</v>
      </c>
      <c r="L160" s="12"/>
      <c r="M160" s="12"/>
    </row>
    <row r="161" spans="1:13" x14ac:dyDescent="0.25">
      <c r="A161" s="12"/>
      <c r="B161" s="12"/>
      <c r="C161" s="12"/>
      <c r="D161" s="12"/>
      <c r="E161" s="12"/>
      <c r="F161" s="12"/>
      <c r="G161" s="12"/>
      <c r="H161" s="47" t="s">
        <v>449</v>
      </c>
      <c r="I161" s="25">
        <f>SUMIFS(PCA!I:I,PCA!T:T,'Resumo por unidade'!H:H,PCA!V:V,"Sim")+SUMIFS('Detalhamento fracionamento'!I:I,'Detalhamento fracionamento'!T:T,'Resumo por unidade'!H:H,'Detalhamento fracionamento'!U:U,"Sim")</f>
        <v>0</v>
      </c>
      <c r="J161" s="25">
        <v>62725.59</v>
      </c>
      <c r="K161" s="26">
        <f t="shared" si="9"/>
        <v>62725.59</v>
      </c>
      <c r="L161" s="12"/>
      <c r="M161" s="12"/>
    </row>
    <row r="162" spans="1:13" x14ac:dyDescent="0.25">
      <c r="A162" s="12"/>
      <c r="B162" s="12"/>
      <c r="C162" s="12"/>
      <c r="D162" s="12"/>
      <c r="E162" s="12"/>
      <c r="F162" s="12"/>
      <c r="G162" s="12"/>
      <c r="H162" s="82" t="s">
        <v>201</v>
      </c>
      <c r="I162" s="25">
        <f>SUMIFS(PCA!I:I,PCA!T:T,'Resumo por unidade'!H:H,PCA!V:V,"Sim")+SUMIFS('Detalhamento fracionamento'!I:I,'Detalhamento fracionamento'!T:T,'Resumo por unidade'!H:H,'Detalhamento fracionamento'!U:U,"Sim")</f>
        <v>23259.93</v>
      </c>
      <c r="J162" s="25">
        <v>62725.59</v>
      </c>
      <c r="K162" s="26">
        <f t="shared" si="9"/>
        <v>39465.659999999996</v>
      </c>
      <c r="L162" s="12"/>
      <c r="M162" s="12"/>
    </row>
    <row r="163" spans="1:13" x14ac:dyDescent="0.25">
      <c r="A163" s="12"/>
      <c r="B163" s="12"/>
      <c r="C163" s="12"/>
      <c r="D163" s="12"/>
      <c r="E163" s="12"/>
      <c r="F163" s="12"/>
      <c r="G163" s="12"/>
      <c r="H163" s="82" t="s">
        <v>405</v>
      </c>
      <c r="I163" s="25">
        <f>SUMIFS(PCA!I:I,PCA!T:T,'Resumo por unidade'!H:H,PCA!V:V,"Sim")+SUMIFS('Detalhamento fracionamento'!I:I,'Detalhamento fracionamento'!T:T,'Resumo por unidade'!H:H,'Detalhamento fracionamento'!U:U,"Sim")</f>
        <v>60676.86</v>
      </c>
      <c r="J163" s="25">
        <v>62725.59</v>
      </c>
      <c r="K163" s="26">
        <f t="shared" si="9"/>
        <v>2048.7299999999959</v>
      </c>
      <c r="L163" s="12"/>
      <c r="M163" s="12"/>
    </row>
    <row r="164" spans="1:13" x14ac:dyDescent="0.25">
      <c r="A164" s="12"/>
      <c r="B164" s="12"/>
      <c r="C164" s="12"/>
      <c r="D164" s="12"/>
      <c r="E164" s="12"/>
      <c r="F164" s="12"/>
      <c r="G164" s="12"/>
      <c r="H164" s="47" t="s">
        <v>361</v>
      </c>
      <c r="I164" s="25">
        <f>SUMIFS(PCA!I:I,PCA!T:T,'Resumo por unidade'!H:H,PCA!V:V,"Sim")+SUMIFS('Detalhamento fracionamento'!I:I,'Detalhamento fracionamento'!T:T,'Resumo por unidade'!H:H,'Detalhamento fracionamento'!U:U,"Sim")</f>
        <v>0</v>
      </c>
      <c r="J164" s="25">
        <v>62725.59</v>
      </c>
      <c r="K164" s="26">
        <f t="shared" si="9"/>
        <v>62725.59</v>
      </c>
      <c r="L164" s="12"/>
      <c r="M164" s="12"/>
    </row>
    <row r="165" spans="1:13" x14ac:dyDescent="0.25">
      <c r="A165" s="12"/>
      <c r="B165" s="12"/>
      <c r="C165" s="12"/>
      <c r="D165" s="12"/>
      <c r="E165" s="12"/>
      <c r="F165" s="12"/>
      <c r="G165" s="12"/>
      <c r="H165" s="47" t="s">
        <v>299</v>
      </c>
      <c r="I165" s="25">
        <f>SUMIFS(PCA!I:I,PCA!T:T,'Resumo por unidade'!H:H,PCA!V:V,"Sim")+SUMIFS('Detalhamento fracionamento'!I:I,'Detalhamento fracionamento'!T:T,'Resumo por unidade'!H:H,'Detalhamento fracionamento'!U:U,"Sim")</f>
        <v>0</v>
      </c>
      <c r="J165" s="25">
        <v>62725.59</v>
      </c>
      <c r="K165" s="26">
        <f t="shared" si="9"/>
        <v>62725.59</v>
      </c>
      <c r="L165" s="12"/>
      <c r="M165" s="12"/>
    </row>
    <row r="166" spans="1:13" x14ac:dyDescent="0.25">
      <c r="A166" s="12"/>
      <c r="B166" s="12"/>
      <c r="C166" s="12"/>
      <c r="D166" s="12"/>
      <c r="E166" s="12"/>
      <c r="F166" s="12"/>
      <c r="G166" s="12"/>
      <c r="H166" s="47" t="s">
        <v>936</v>
      </c>
      <c r="I166" s="25">
        <f>SUMIFS(PCA!I:I,PCA!T:T,'Resumo por unidade'!H:H,PCA!V:V,"Sim")+SUMIFS('Detalhamento fracionamento'!I:I,'Detalhamento fracionamento'!T:T,'Resumo por unidade'!H:H,'Detalhamento fracionamento'!U:U,"Sim")</f>
        <v>14267</v>
      </c>
      <c r="J166" s="25">
        <v>62725.59</v>
      </c>
      <c r="K166" s="26">
        <f t="shared" ref="K166" si="10">J166-I166</f>
        <v>48458.59</v>
      </c>
      <c r="L166" s="12"/>
      <c r="M166" s="12"/>
    </row>
    <row r="167" spans="1:13" x14ac:dyDescent="0.25">
      <c r="A167" s="12"/>
      <c r="B167" s="12"/>
      <c r="C167" s="12"/>
      <c r="D167" s="12"/>
      <c r="E167" s="12"/>
      <c r="F167" s="12"/>
      <c r="G167" s="12"/>
      <c r="H167" s="47" t="s">
        <v>336</v>
      </c>
      <c r="I167" s="25">
        <f>SUMIFS(PCA!I:I,PCA!T:T,'Resumo por unidade'!H:H,PCA!V:V,"Sim")+SUMIFS('Detalhamento fracionamento'!I:I,'Detalhamento fracionamento'!T:T,'Resumo por unidade'!H:H,'Detalhamento fracionamento'!U:U,"Sim")</f>
        <v>0</v>
      </c>
      <c r="J167" s="25">
        <v>62725.59</v>
      </c>
      <c r="K167" s="26">
        <f t="shared" si="9"/>
        <v>62725.59</v>
      </c>
      <c r="L167" s="12"/>
      <c r="M167" s="12"/>
    </row>
    <row r="168" spans="1:13" x14ac:dyDescent="0.25">
      <c r="A168" s="12"/>
      <c r="B168" s="12"/>
      <c r="C168" s="12"/>
      <c r="D168" s="12"/>
      <c r="E168" s="12"/>
      <c r="F168" s="12"/>
      <c r="G168" s="12"/>
      <c r="H168" s="47" t="s">
        <v>258</v>
      </c>
      <c r="I168" s="25">
        <f>SUMIFS(PCA!I:I,PCA!T:T,'Resumo por unidade'!H:H,PCA!V:V,"Sim")+SUMIFS('Detalhamento fracionamento'!I:I,'Detalhamento fracionamento'!T:T,'Resumo por unidade'!H:H,'Detalhamento fracionamento'!U:U,"Sim")</f>
        <v>0</v>
      </c>
      <c r="J168" s="25">
        <v>62725.59</v>
      </c>
      <c r="K168" s="26">
        <f t="shared" si="9"/>
        <v>62725.59</v>
      </c>
      <c r="L168" s="12"/>
      <c r="M168" s="12"/>
    </row>
    <row r="169" spans="1:13" x14ac:dyDescent="0.25">
      <c r="A169" s="12"/>
      <c r="B169" s="12"/>
      <c r="C169" s="12"/>
      <c r="D169" s="12"/>
      <c r="E169" s="12"/>
      <c r="F169" s="12"/>
      <c r="G169" s="12"/>
      <c r="H169" s="47" t="s">
        <v>131</v>
      </c>
      <c r="I169" s="25">
        <f>SUMIFS(PCA!I:I,PCA!T:T,'Resumo por unidade'!H:H,PCA!V:V,"Sim")+SUMIFS('Detalhamento fracionamento'!I:I,'Detalhamento fracionamento'!T:T,'Resumo por unidade'!H:H,'Detalhamento fracionamento'!U:U,"Sim")</f>
        <v>0</v>
      </c>
      <c r="J169" s="25">
        <v>62725.59</v>
      </c>
      <c r="K169" s="26">
        <f t="shared" si="9"/>
        <v>62725.59</v>
      </c>
      <c r="L169" s="12"/>
      <c r="M169" s="12"/>
    </row>
    <row r="170" spans="1:13" x14ac:dyDescent="0.25">
      <c r="A170" s="12"/>
      <c r="B170" s="12"/>
      <c r="C170" s="12"/>
      <c r="D170" s="12"/>
      <c r="E170" s="12"/>
      <c r="F170" s="12"/>
      <c r="G170" s="12"/>
      <c r="H170" s="47" t="s">
        <v>1062</v>
      </c>
      <c r="I170" s="25">
        <f>SUMIFS(PCA!I:I,PCA!T:T,'Resumo por unidade'!H:H,PCA!V:V,"Sim")+SUMIFS('Detalhamento fracionamento'!I:I,'Detalhamento fracionamento'!T:T,'Resumo por unidade'!H:H,'Detalhamento fracionamento'!U:U,"Sim")</f>
        <v>0</v>
      </c>
      <c r="J170" s="25">
        <v>62725.59</v>
      </c>
      <c r="K170" s="26">
        <f t="shared" si="9"/>
        <v>62725.59</v>
      </c>
      <c r="L170" s="12"/>
      <c r="M170" s="12"/>
    </row>
    <row r="171" spans="1:13" x14ac:dyDescent="0.25">
      <c r="A171" s="12"/>
      <c r="B171" s="12"/>
      <c r="C171" s="12"/>
      <c r="D171" s="12"/>
      <c r="E171" s="12"/>
      <c r="F171" s="12"/>
      <c r="G171" s="12"/>
      <c r="H171" s="47" t="s">
        <v>277</v>
      </c>
      <c r="I171" s="25">
        <f>SUMIFS(PCA!I:I,PCA!T:T,'Resumo por unidade'!H:H,PCA!V:V,"Sim")+SUMIFS('Detalhamento fracionamento'!I:I,'Detalhamento fracionamento'!T:T,'Resumo por unidade'!H:H,'Detalhamento fracionamento'!U:U,"Sim")</f>
        <v>0</v>
      </c>
      <c r="J171" s="25">
        <v>62725.59</v>
      </c>
      <c r="K171" s="26">
        <f t="shared" si="9"/>
        <v>62725.59</v>
      </c>
      <c r="L171" s="12"/>
      <c r="M171" s="12"/>
    </row>
    <row r="172" spans="1:13" x14ac:dyDescent="0.25">
      <c r="A172" s="12"/>
      <c r="B172" s="12"/>
      <c r="C172" s="12"/>
      <c r="D172" s="12"/>
      <c r="E172" s="12"/>
      <c r="F172" s="12"/>
      <c r="G172" s="12"/>
      <c r="H172" s="47" t="s">
        <v>103</v>
      </c>
      <c r="I172" s="25">
        <f>SUMIFS(PCA!I:I,PCA!T:T,'Resumo por unidade'!H:H,PCA!V:V,"Sim")+SUMIFS('Detalhamento fracionamento'!I:I,'Detalhamento fracionamento'!T:T,'Resumo por unidade'!H:H,'Detalhamento fracionamento'!U:U,"Sim")</f>
        <v>0</v>
      </c>
      <c r="J172" s="25">
        <v>62725.59</v>
      </c>
      <c r="K172" s="26">
        <f t="shared" si="9"/>
        <v>62725.59</v>
      </c>
      <c r="L172" s="12"/>
      <c r="M172" s="12"/>
    </row>
    <row r="173" spans="1:13" x14ac:dyDescent="0.25">
      <c r="A173" s="12"/>
      <c r="B173" s="12"/>
      <c r="C173" s="12"/>
      <c r="D173" s="12"/>
      <c r="E173" s="12"/>
      <c r="F173" s="12"/>
      <c r="G173" s="12"/>
      <c r="H173" s="47" t="s">
        <v>1029</v>
      </c>
      <c r="I173" s="25">
        <f>SUMIFS(PCA!I:I,PCA!T:T,'Resumo por unidade'!H:H,PCA!V:V,"Sim")+SUMIFS('Detalhamento fracionamento'!I:I,'Detalhamento fracionamento'!T:T,'Resumo por unidade'!H:H,'Detalhamento fracionamento'!U:U,"Sim")</f>
        <v>400</v>
      </c>
      <c r="J173" s="25">
        <v>62725.59</v>
      </c>
      <c r="K173" s="26">
        <f t="shared" ref="K173" si="11">J173-I173</f>
        <v>62325.59</v>
      </c>
      <c r="L173" s="12"/>
      <c r="M173" s="12"/>
    </row>
    <row r="174" spans="1:13" x14ac:dyDescent="0.25">
      <c r="A174" s="12"/>
      <c r="B174" s="12"/>
      <c r="C174" s="12"/>
      <c r="D174" s="12"/>
      <c r="E174" s="12"/>
      <c r="F174" s="12"/>
      <c r="G174" s="12"/>
      <c r="H174" s="47" t="s">
        <v>74</v>
      </c>
      <c r="I174" s="25">
        <f>SUMIFS(PCA!I:I,PCA!T:T,'Resumo por unidade'!H:H,PCA!V:V,"Sim")+SUMIFS('Detalhamento fracionamento'!I:I,'Detalhamento fracionamento'!T:T,'Resumo por unidade'!H:H,'Detalhamento fracionamento'!U:U,"Sim")</f>
        <v>38748.269999999997</v>
      </c>
      <c r="J174" s="25">
        <v>62725.59</v>
      </c>
      <c r="K174" s="26">
        <f t="shared" si="9"/>
        <v>23977.32</v>
      </c>
      <c r="L174" s="12"/>
      <c r="M174" s="12"/>
    </row>
    <row r="175" spans="1:13" x14ac:dyDescent="0.25">
      <c r="A175" s="12"/>
      <c r="B175" s="12"/>
      <c r="C175" s="12"/>
      <c r="D175" s="12"/>
      <c r="E175" s="12"/>
      <c r="F175" s="12"/>
      <c r="G175" s="12"/>
      <c r="H175" s="47" t="s">
        <v>244</v>
      </c>
      <c r="I175" s="25">
        <f>SUMIFS(PCA!I:I,PCA!T:T,'Resumo por unidade'!H:H,PCA!V:V,"Sim")+SUMIFS('Detalhamento fracionamento'!I:I,'Detalhamento fracionamento'!T:T,'Resumo por unidade'!H:H,'Detalhamento fracionamento'!U:U,"Sim")</f>
        <v>0</v>
      </c>
      <c r="J175" s="25">
        <v>62725.59</v>
      </c>
      <c r="K175" s="26">
        <f t="shared" si="9"/>
        <v>62725.59</v>
      </c>
      <c r="L175" s="12"/>
      <c r="M175" s="12"/>
    </row>
    <row r="176" spans="1:13" x14ac:dyDescent="0.25">
      <c r="A176" s="12"/>
      <c r="B176" s="12"/>
      <c r="C176" s="12"/>
      <c r="D176" s="12"/>
      <c r="E176" s="12"/>
      <c r="F176" s="12"/>
      <c r="G176" s="12"/>
      <c r="H176" s="47" t="s">
        <v>228</v>
      </c>
      <c r="I176" s="25">
        <f>SUMIFS(PCA!I:I,PCA!T:T,'Resumo por unidade'!H:H,PCA!V:V,"Sim")+SUMIFS('Detalhamento fracionamento'!I:I,'Detalhamento fracionamento'!T:T,'Resumo por unidade'!H:H,'Detalhamento fracionamento'!U:U,"Sim")</f>
        <v>0</v>
      </c>
      <c r="J176" s="25">
        <v>62725.59</v>
      </c>
      <c r="K176" s="26">
        <f t="shared" si="9"/>
        <v>62725.59</v>
      </c>
      <c r="L176" s="12"/>
      <c r="M176" s="12"/>
    </row>
    <row r="177" spans="1:13" x14ac:dyDescent="0.25">
      <c r="A177" s="12"/>
      <c r="B177" s="12"/>
      <c r="C177" s="12"/>
      <c r="D177" s="12"/>
      <c r="E177" s="12"/>
      <c r="F177" s="12"/>
      <c r="G177" s="12"/>
      <c r="H177" s="47" t="s">
        <v>1065</v>
      </c>
      <c r="I177" s="25">
        <f>SUMIFS(PCA!I:I,PCA!T:T,'Resumo por unidade'!H:H,PCA!V:V,"Sim")+SUMIFS('Detalhamento fracionamento'!I:I,'Detalhamento fracionamento'!T:T,'Resumo por unidade'!H:H,'Detalhamento fracionamento'!U:U,"Sim")</f>
        <v>350</v>
      </c>
      <c r="J177" s="25">
        <v>62725.59</v>
      </c>
      <c r="K177" s="26">
        <f t="shared" ref="K177" si="12">J177-I177</f>
        <v>62375.59</v>
      </c>
      <c r="L177" s="12"/>
      <c r="M177" s="12"/>
    </row>
    <row r="178" spans="1:13" x14ac:dyDescent="0.25">
      <c r="A178" s="12"/>
      <c r="B178" s="12"/>
      <c r="C178" s="12"/>
      <c r="D178" s="12"/>
      <c r="E178" s="12"/>
      <c r="F178" s="12"/>
      <c r="G178" s="12"/>
      <c r="H178" s="47" t="s">
        <v>226</v>
      </c>
      <c r="I178" s="25">
        <f>SUMIFS(PCA!I:I,PCA!T:T,'Resumo por unidade'!H:H,PCA!V:V,"Sim")+SUMIFS('Detalhamento fracionamento'!I:I,'Detalhamento fracionamento'!T:T,'Resumo por unidade'!H:H,'Detalhamento fracionamento'!U:U,"Sim")</f>
        <v>0</v>
      </c>
      <c r="J178" s="25">
        <v>62725.59</v>
      </c>
      <c r="K178" s="26">
        <f t="shared" si="9"/>
        <v>62725.59</v>
      </c>
      <c r="L178" s="12"/>
      <c r="M178" s="12"/>
    </row>
    <row r="179" spans="1:13" x14ac:dyDescent="0.25">
      <c r="A179" s="12"/>
      <c r="B179" s="12"/>
      <c r="C179" s="12"/>
      <c r="D179" s="12"/>
      <c r="E179" s="12"/>
      <c r="F179" s="12"/>
      <c r="G179" s="12"/>
      <c r="H179" s="47" t="s">
        <v>1063</v>
      </c>
      <c r="I179" s="25">
        <f>SUMIFS(PCA!I:I,PCA!T:T,'Resumo por unidade'!H:H,PCA!V:V,"Sim")+SUMIFS('Detalhamento fracionamento'!I:I,'Detalhamento fracionamento'!T:T,'Resumo por unidade'!H:H,'Detalhamento fracionamento'!U:U,"Sim")</f>
        <v>0</v>
      </c>
      <c r="J179" s="25">
        <v>62725.59</v>
      </c>
      <c r="K179" s="26">
        <f t="shared" si="9"/>
        <v>62725.59</v>
      </c>
      <c r="L179" s="12"/>
      <c r="M179" s="12"/>
    </row>
    <row r="180" spans="1:13" x14ac:dyDescent="0.25">
      <c r="A180" s="12"/>
      <c r="B180" s="12"/>
      <c r="C180" s="12"/>
      <c r="D180" s="12"/>
      <c r="E180" s="12"/>
      <c r="F180" s="12"/>
      <c r="G180" s="12"/>
      <c r="H180" s="47" t="s">
        <v>1064</v>
      </c>
      <c r="I180" s="25">
        <f>SUMIFS(PCA!I:I,PCA!T:T,'Resumo por unidade'!H:H,PCA!V:V,"Sim")+SUMIFS('Detalhamento fracionamento'!I:I,'Detalhamento fracionamento'!T:T,'Resumo por unidade'!H:H,'Detalhamento fracionamento'!U:U,"Sim")</f>
        <v>0</v>
      </c>
      <c r="J180" s="25">
        <v>62725.59</v>
      </c>
      <c r="K180" s="26">
        <f t="shared" si="9"/>
        <v>62725.59</v>
      </c>
      <c r="L180" s="12"/>
      <c r="M180" s="12"/>
    </row>
    <row r="181" spans="1:13" x14ac:dyDescent="0.25">
      <c r="A181" s="12"/>
      <c r="B181" s="12"/>
      <c r="C181" s="12"/>
      <c r="D181" s="12"/>
      <c r="E181" s="12"/>
      <c r="F181" s="12"/>
      <c r="G181" s="12"/>
      <c r="H181" s="12"/>
      <c r="I181" s="12"/>
      <c r="J181" s="12"/>
      <c r="K181" s="12"/>
      <c r="L181" s="12"/>
      <c r="M181" s="12"/>
    </row>
    <row r="182" spans="1:13" x14ac:dyDescent="0.25">
      <c r="A182" s="12"/>
      <c r="B182" s="12"/>
      <c r="C182" s="12"/>
      <c r="D182" s="12"/>
      <c r="E182" s="12"/>
      <c r="F182" s="12"/>
      <c r="G182" s="12"/>
      <c r="H182" s="12"/>
      <c r="I182" s="12"/>
      <c r="J182" s="12"/>
      <c r="K182" s="12"/>
      <c r="L182" s="12"/>
      <c r="M182" s="12"/>
    </row>
    <row r="183" spans="1:13" x14ac:dyDescent="0.25">
      <c r="A183" s="12"/>
      <c r="B183" s="12"/>
      <c r="C183" s="12"/>
      <c r="D183" s="12"/>
      <c r="E183" s="12"/>
      <c r="F183" s="12"/>
      <c r="G183" s="12"/>
      <c r="H183" s="12"/>
      <c r="I183" s="12"/>
      <c r="J183" s="12"/>
      <c r="K183" s="12"/>
      <c r="L183" s="12"/>
      <c r="M183" s="12"/>
    </row>
    <row r="184" spans="1:13" x14ac:dyDescent="0.25">
      <c r="A184" s="12"/>
      <c r="B184" s="12"/>
      <c r="C184" s="12"/>
      <c r="D184" s="12"/>
      <c r="E184" s="12"/>
      <c r="F184" s="12"/>
      <c r="G184" s="12"/>
      <c r="H184" s="12"/>
      <c r="I184" s="12"/>
      <c r="J184" s="12"/>
      <c r="K184" s="12"/>
      <c r="L184" s="12"/>
      <c r="M184" s="12"/>
    </row>
    <row r="185" spans="1:13" x14ac:dyDescent="0.25">
      <c r="A185" s="12"/>
      <c r="B185" s="12"/>
      <c r="C185" s="12"/>
      <c r="D185" s="12"/>
      <c r="E185" s="12"/>
      <c r="F185" s="12"/>
      <c r="G185" s="12"/>
      <c r="H185" s="12"/>
      <c r="I185" s="12"/>
      <c r="J185" s="12"/>
      <c r="K185" s="12"/>
      <c r="L185" s="12"/>
      <c r="M185" s="12"/>
    </row>
    <row r="186" spans="1:13" x14ac:dyDescent="0.25">
      <c r="A186" s="12"/>
      <c r="B186" s="12"/>
      <c r="C186" s="12"/>
      <c r="D186" s="12"/>
      <c r="E186" s="12"/>
      <c r="F186" s="12"/>
      <c r="G186" s="12"/>
      <c r="H186" s="12"/>
      <c r="I186" s="12"/>
      <c r="J186" s="12"/>
      <c r="K186" s="12"/>
      <c r="L186" s="12"/>
      <c r="M186" s="12"/>
    </row>
    <row r="187" spans="1:13" x14ac:dyDescent="0.25">
      <c r="A187" s="12"/>
      <c r="B187" s="12"/>
      <c r="C187" s="12"/>
      <c r="D187" s="12"/>
      <c r="E187" s="12"/>
      <c r="F187" s="12"/>
      <c r="G187" s="12"/>
      <c r="H187" s="12"/>
      <c r="I187" s="12"/>
      <c r="J187" s="12"/>
      <c r="K187" s="12"/>
      <c r="L187" s="12"/>
      <c r="M187" s="12"/>
    </row>
    <row r="188" spans="1:13" x14ac:dyDescent="0.25">
      <c r="A188" s="12"/>
      <c r="B188" s="12"/>
      <c r="C188" s="12"/>
      <c r="D188" s="12"/>
      <c r="E188" s="12"/>
      <c r="F188" s="12"/>
      <c r="G188" s="12"/>
      <c r="H188" s="12"/>
      <c r="I188" s="12"/>
      <c r="J188" s="12"/>
      <c r="K188" s="12"/>
      <c r="L188" s="12"/>
      <c r="M188" s="12"/>
    </row>
    <row r="189" spans="1:13" x14ac:dyDescent="0.25">
      <c r="A189" s="12"/>
      <c r="B189" s="12"/>
      <c r="C189" s="12"/>
      <c r="D189" s="12"/>
      <c r="E189" s="12"/>
      <c r="F189" s="12"/>
      <c r="G189" s="12"/>
      <c r="H189" s="12"/>
      <c r="I189" s="12"/>
      <c r="J189" s="12"/>
      <c r="K189" s="12"/>
      <c r="L189" s="12"/>
      <c r="M189" s="12"/>
    </row>
    <row r="190" spans="1:13" x14ac:dyDescent="0.25">
      <c r="A190" s="12"/>
      <c r="B190" s="12"/>
      <c r="C190" s="12"/>
      <c r="D190" s="12"/>
      <c r="E190" s="12"/>
      <c r="F190" s="12"/>
      <c r="G190" s="12"/>
      <c r="H190" s="12"/>
      <c r="I190" s="12"/>
      <c r="J190" s="12"/>
      <c r="K190" s="12"/>
      <c r="L190" s="12"/>
      <c r="M190" s="12"/>
    </row>
    <row r="191" spans="1:13" x14ac:dyDescent="0.25">
      <c r="A191" s="12"/>
      <c r="B191" s="12"/>
      <c r="C191" s="12"/>
      <c r="D191" s="12"/>
      <c r="E191" s="12"/>
      <c r="F191" s="12"/>
      <c r="G191" s="12"/>
      <c r="H191" s="12"/>
      <c r="I191" s="12"/>
      <c r="J191" s="12"/>
      <c r="K191" s="12"/>
      <c r="L191" s="12"/>
      <c r="M191" s="12"/>
    </row>
    <row r="192" spans="1:13" x14ac:dyDescent="0.25">
      <c r="A192" s="12"/>
      <c r="B192" s="12"/>
      <c r="C192" s="12"/>
      <c r="D192" s="12"/>
      <c r="E192" s="12"/>
      <c r="F192" s="12"/>
      <c r="G192" s="12"/>
      <c r="H192" s="12"/>
      <c r="I192" s="12"/>
      <c r="J192" s="12"/>
      <c r="K192" s="12"/>
      <c r="L192" s="12"/>
      <c r="M192" s="12"/>
    </row>
    <row r="193" spans="1:13" x14ac:dyDescent="0.25">
      <c r="A193" s="12"/>
      <c r="B193" s="12"/>
      <c r="C193" s="12"/>
      <c r="D193" s="12"/>
      <c r="E193" s="12"/>
      <c r="F193" s="12"/>
      <c r="G193" s="12"/>
      <c r="H193" s="12"/>
      <c r="I193" s="12"/>
      <c r="J193" s="12"/>
      <c r="K193" s="12"/>
      <c r="L193" s="12"/>
      <c r="M193" s="12"/>
    </row>
    <row r="194" spans="1:13" x14ac:dyDescent="0.25">
      <c r="A194" s="12"/>
      <c r="B194" s="12"/>
      <c r="C194" s="12"/>
      <c r="D194" s="12"/>
      <c r="E194" s="12"/>
      <c r="F194" s="12"/>
      <c r="G194" s="12"/>
      <c r="H194" s="12"/>
      <c r="I194" s="12"/>
      <c r="J194" s="12"/>
      <c r="K194" s="12"/>
      <c r="L194" s="12"/>
      <c r="M194" s="12"/>
    </row>
    <row r="195" spans="1:13" x14ac:dyDescent="0.25">
      <c r="A195" s="12"/>
      <c r="B195" s="12"/>
      <c r="C195" s="12"/>
      <c r="D195" s="12"/>
      <c r="E195" s="12"/>
      <c r="F195" s="12"/>
      <c r="G195" s="12"/>
      <c r="H195" s="12"/>
      <c r="I195" s="12"/>
      <c r="J195" s="12"/>
      <c r="K195" s="12"/>
      <c r="L195" s="12"/>
      <c r="M195" s="12"/>
    </row>
    <row r="196" spans="1:13" x14ac:dyDescent="0.25">
      <c r="A196" s="12"/>
      <c r="B196" s="12"/>
      <c r="C196" s="12"/>
      <c r="D196" s="12"/>
      <c r="E196" s="12"/>
      <c r="F196" s="12"/>
      <c r="G196" s="12"/>
      <c r="H196" s="12"/>
      <c r="I196" s="12"/>
      <c r="J196" s="12"/>
      <c r="K196" s="12"/>
      <c r="L196" s="12"/>
      <c r="M196" s="12"/>
    </row>
    <row r="197" spans="1:13" x14ac:dyDescent="0.25">
      <c r="A197" s="12"/>
      <c r="B197" s="12"/>
      <c r="C197" s="12"/>
      <c r="D197" s="12"/>
      <c r="E197" s="12"/>
      <c r="F197" s="12"/>
      <c r="G197" s="12"/>
      <c r="H197" s="12"/>
      <c r="I197" s="12"/>
      <c r="J197" s="12"/>
      <c r="K197" s="12"/>
      <c r="L197" s="12"/>
      <c r="M197" s="12"/>
    </row>
    <row r="198" spans="1:13" x14ac:dyDescent="0.25">
      <c r="A198" s="12"/>
      <c r="B198" s="12"/>
      <c r="C198" s="12"/>
      <c r="D198" s="12"/>
      <c r="E198" s="12"/>
      <c r="F198" s="12"/>
      <c r="G198" s="12"/>
      <c r="H198" s="12"/>
      <c r="I198" s="12"/>
      <c r="J198" s="12"/>
      <c r="K198" s="12"/>
      <c r="L198" s="12"/>
      <c r="M198" s="12"/>
    </row>
    <row r="199" spans="1:13" x14ac:dyDescent="0.25">
      <c r="A199" s="12"/>
      <c r="B199" s="12"/>
      <c r="C199" s="12"/>
      <c r="D199" s="12"/>
      <c r="E199" s="12"/>
      <c r="F199" s="12"/>
      <c r="G199" s="12"/>
      <c r="H199" s="12"/>
      <c r="I199" s="12"/>
      <c r="J199" s="12"/>
      <c r="K199" s="12"/>
      <c r="L199" s="12"/>
      <c r="M199" s="12"/>
    </row>
    <row r="200" spans="1:13" x14ac:dyDescent="0.25">
      <c r="A200" s="12"/>
      <c r="B200" s="12"/>
      <c r="C200" s="12"/>
      <c r="D200" s="12"/>
      <c r="E200" s="12"/>
      <c r="F200" s="12"/>
      <c r="G200" s="12"/>
      <c r="H200" s="12"/>
      <c r="I200" s="12"/>
      <c r="J200" s="12"/>
      <c r="K200" s="12"/>
      <c r="L200" s="12"/>
      <c r="M200" s="12"/>
    </row>
    <row r="201" spans="1:13" x14ac:dyDescent="0.25">
      <c r="A201" s="12"/>
      <c r="B201" s="12"/>
      <c r="C201" s="12"/>
      <c r="D201" s="12"/>
      <c r="E201" s="12"/>
      <c r="F201" s="12"/>
      <c r="G201" s="12"/>
      <c r="H201" s="12"/>
      <c r="I201" s="12"/>
      <c r="J201" s="12"/>
      <c r="K201" s="12"/>
      <c r="L201" s="12"/>
      <c r="M201" s="12"/>
    </row>
    <row r="202" spans="1:13" x14ac:dyDescent="0.25">
      <c r="A202" s="12"/>
      <c r="B202" s="12"/>
      <c r="C202" s="12"/>
      <c r="D202" s="12"/>
      <c r="E202" s="12"/>
      <c r="F202" s="12"/>
      <c r="G202" s="12"/>
      <c r="H202" s="12"/>
      <c r="I202" s="12"/>
      <c r="J202" s="12"/>
      <c r="K202" s="12"/>
      <c r="L202" s="12"/>
      <c r="M202" s="12"/>
    </row>
    <row r="203" spans="1:13" x14ac:dyDescent="0.25">
      <c r="A203" s="12"/>
      <c r="B203" s="12"/>
      <c r="C203" s="12"/>
      <c r="D203" s="12"/>
      <c r="E203" s="12"/>
      <c r="F203" s="12"/>
      <c r="G203" s="12"/>
      <c r="H203" s="12"/>
      <c r="I203" s="12"/>
      <c r="J203" s="12"/>
      <c r="K203" s="12"/>
      <c r="L203" s="12"/>
      <c r="M203" s="12"/>
    </row>
    <row r="204" spans="1:13" x14ac:dyDescent="0.25">
      <c r="A204" s="12"/>
      <c r="B204" s="12"/>
      <c r="C204" s="12"/>
      <c r="D204" s="12"/>
      <c r="E204" s="12"/>
      <c r="F204" s="12"/>
      <c r="G204" s="12"/>
      <c r="H204" s="12"/>
      <c r="I204" s="12"/>
      <c r="J204" s="12"/>
      <c r="K204" s="12"/>
      <c r="L204" s="12"/>
      <c r="M204" s="12"/>
    </row>
    <row r="205" spans="1:13" x14ac:dyDescent="0.25">
      <c r="A205" s="12"/>
      <c r="B205" s="12"/>
      <c r="C205" s="12"/>
      <c r="D205" s="12"/>
      <c r="E205" s="12"/>
      <c r="F205" s="12"/>
      <c r="G205" s="12"/>
      <c r="H205" s="12"/>
      <c r="I205" s="12"/>
      <c r="J205" s="12"/>
      <c r="K205" s="12"/>
      <c r="L205" s="12"/>
      <c r="M205" s="12"/>
    </row>
    <row r="206" spans="1:13" x14ac:dyDescent="0.25">
      <c r="A206" s="12"/>
      <c r="B206" s="12"/>
      <c r="C206" s="12"/>
      <c r="D206" s="12"/>
      <c r="E206" s="12"/>
      <c r="F206" s="12"/>
      <c r="G206" s="12"/>
      <c r="H206" s="12"/>
      <c r="I206" s="12"/>
      <c r="J206" s="12"/>
      <c r="K206" s="12"/>
      <c r="L206" s="12"/>
      <c r="M206" s="12"/>
    </row>
    <row r="207" spans="1:13" x14ac:dyDescent="0.25">
      <c r="A207" s="12"/>
      <c r="B207" s="12"/>
      <c r="C207" s="12"/>
      <c r="D207" s="12"/>
      <c r="E207" s="12"/>
      <c r="F207" s="12"/>
      <c r="G207" s="12"/>
      <c r="H207" s="12"/>
      <c r="I207" s="12"/>
      <c r="J207" s="12"/>
      <c r="K207" s="12"/>
      <c r="L207" s="12"/>
      <c r="M207" s="12"/>
    </row>
    <row r="208" spans="1:13" x14ac:dyDescent="0.25">
      <c r="A208" s="12"/>
      <c r="B208" s="12"/>
      <c r="C208" s="12"/>
      <c r="D208" s="12"/>
      <c r="E208" s="12"/>
      <c r="F208" s="12"/>
      <c r="G208" s="12"/>
      <c r="H208" s="12"/>
      <c r="I208" s="12"/>
      <c r="J208" s="12"/>
      <c r="K208" s="12"/>
      <c r="L208" s="12"/>
      <c r="M208" s="12"/>
    </row>
    <row r="209" spans="1:13" x14ac:dyDescent="0.25">
      <c r="A209" s="12"/>
      <c r="B209" s="12"/>
      <c r="C209" s="12"/>
      <c r="D209" s="12"/>
      <c r="E209" s="12"/>
      <c r="F209" s="12"/>
      <c r="G209" s="12"/>
      <c r="H209" s="12"/>
      <c r="I209" s="12"/>
      <c r="J209" s="12"/>
      <c r="K209" s="12"/>
      <c r="L209" s="12"/>
      <c r="M209" s="12"/>
    </row>
    <row r="210" spans="1:13" x14ac:dyDescent="0.25">
      <c r="A210" s="12"/>
      <c r="B210" s="12"/>
      <c r="C210" s="12"/>
      <c r="D210" s="12"/>
      <c r="E210" s="12"/>
      <c r="F210" s="12"/>
      <c r="G210" s="12"/>
      <c r="H210" s="12"/>
      <c r="I210" s="12"/>
      <c r="J210" s="12"/>
      <c r="K210" s="12"/>
      <c r="L210" s="12"/>
      <c r="M210" s="12"/>
    </row>
    <row r="211" spans="1:13" x14ac:dyDescent="0.25">
      <c r="A211" s="12"/>
      <c r="B211" s="12"/>
      <c r="C211" s="12"/>
      <c r="D211" s="12"/>
      <c r="E211" s="12"/>
      <c r="F211" s="12"/>
      <c r="G211" s="12"/>
      <c r="H211" s="12"/>
      <c r="I211" s="12"/>
      <c r="J211" s="12"/>
      <c r="K211" s="12"/>
      <c r="L211" s="12"/>
      <c r="M211" s="12"/>
    </row>
    <row r="212" spans="1:13" x14ac:dyDescent="0.25">
      <c r="A212" s="12"/>
      <c r="B212" s="12"/>
      <c r="C212" s="12"/>
      <c r="D212" s="12"/>
      <c r="E212" s="12"/>
      <c r="F212" s="12"/>
      <c r="G212" s="12"/>
      <c r="H212" s="12"/>
      <c r="I212" s="12"/>
      <c r="J212" s="12"/>
      <c r="K212" s="12"/>
      <c r="L212" s="12"/>
      <c r="M212" s="12"/>
    </row>
    <row r="213" spans="1:13" x14ac:dyDescent="0.25">
      <c r="A213" s="12"/>
      <c r="B213" s="12"/>
      <c r="C213" s="12"/>
      <c r="D213" s="12"/>
      <c r="E213" s="12"/>
      <c r="F213" s="12"/>
      <c r="G213" s="12"/>
      <c r="H213" s="12"/>
      <c r="I213" s="12"/>
      <c r="J213" s="12"/>
      <c r="K213" s="12"/>
      <c r="L213" s="12"/>
      <c r="M213" s="12"/>
    </row>
    <row r="214" spans="1:13" x14ac:dyDescent="0.25">
      <c r="A214" s="12"/>
      <c r="B214" s="12"/>
      <c r="C214" s="12"/>
      <c r="D214" s="12"/>
      <c r="E214" s="12"/>
      <c r="F214" s="12"/>
      <c r="G214" s="12"/>
      <c r="H214" s="12"/>
      <c r="I214" s="12"/>
      <c r="J214" s="12"/>
      <c r="K214" s="12"/>
      <c r="L214" s="12"/>
      <c r="M214" s="12"/>
    </row>
    <row r="215" spans="1:13" x14ac:dyDescent="0.25">
      <c r="A215" s="12"/>
      <c r="B215" s="12"/>
      <c r="C215" s="12"/>
      <c r="D215" s="12"/>
      <c r="E215" s="12"/>
      <c r="F215" s="12"/>
      <c r="G215" s="12"/>
      <c r="H215" s="12"/>
      <c r="I215" s="12"/>
      <c r="J215" s="12"/>
      <c r="K215" s="12"/>
      <c r="L215" s="12"/>
      <c r="M215" s="12"/>
    </row>
    <row r="216" spans="1:13" x14ac:dyDescent="0.25">
      <c r="A216" s="12"/>
      <c r="B216" s="12"/>
      <c r="C216" s="12"/>
      <c r="D216" s="12"/>
      <c r="E216" s="12"/>
      <c r="F216" s="12"/>
      <c r="G216" s="12"/>
      <c r="H216" s="12"/>
      <c r="I216" s="12"/>
      <c r="J216" s="12"/>
      <c r="K216" s="12"/>
      <c r="L216" s="12"/>
      <c r="M216" s="12"/>
    </row>
    <row r="217" spans="1:13" x14ac:dyDescent="0.25">
      <c r="A217" s="12"/>
      <c r="B217" s="12"/>
      <c r="C217" s="12"/>
      <c r="D217" s="12"/>
      <c r="E217" s="12"/>
      <c r="F217" s="12"/>
      <c r="G217" s="12"/>
      <c r="H217" s="12"/>
      <c r="I217" s="12"/>
      <c r="J217" s="12"/>
      <c r="K217" s="12"/>
      <c r="L217" s="12"/>
      <c r="M217" s="12"/>
    </row>
    <row r="218" spans="1:13" x14ac:dyDescent="0.25">
      <c r="A218" s="12"/>
      <c r="B218" s="12"/>
      <c r="C218" s="12"/>
      <c r="D218" s="12"/>
      <c r="E218" s="12"/>
      <c r="F218" s="12"/>
      <c r="G218" s="12"/>
      <c r="H218" s="12"/>
      <c r="I218" s="12"/>
      <c r="J218" s="12"/>
      <c r="K218" s="12"/>
      <c r="L218" s="12"/>
      <c r="M218" s="12"/>
    </row>
    <row r="219" spans="1:13" x14ac:dyDescent="0.25">
      <c r="A219" s="12"/>
      <c r="B219" s="12"/>
      <c r="C219" s="12"/>
      <c r="D219" s="12"/>
      <c r="E219" s="12"/>
      <c r="F219" s="12"/>
      <c r="G219" s="12"/>
      <c r="H219" s="12"/>
      <c r="I219" s="12"/>
      <c r="J219" s="12"/>
      <c r="K219" s="12"/>
      <c r="L219" s="12"/>
      <c r="M219" s="12"/>
    </row>
    <row r="220" spans="1:13" x14ac:dyDescent="0.25">
      <c r="A220" s="12"/>
      <c r="B220" s="12"/>
      <c r="C220" s="12"/>
      <c r="D220" s="12"/>
      <c r="E220" s="12"/>
      <c r="F220" s="12"/>
      <c r="G220" s="12"/>
      <c r="H220" s="12"/>
      <c r="I220" s="12"/>
      <c r="J220" s="12"/>
      <c r="K220" s="12"/>
      <c r="L220" s="12"/>
      <c r="M220" s="12"/>
    </row>
    <row r="221" spans="1:13" x14ac:dyDescent="0.25">
      <c r="A221" s="12"/>
      <c r="B221" s="12"/>
      <c r="C221" s="12"/>
      <c r="D221" s="12"/>
      <c r="E221" s="12"/>
      <c r="F221" s="12"/>
      <c r="G221" s="12"/>
      <c r="H221" s="12"/>
      <c r="I221" s="12"/>
      <c r="J221" s="12"/>
      <c r="K221" s="12"/>
      <c r="L221" s="12"/>
      <c r="M221" s="12"/>
    </row>
    <row r="222" spans="1:13" x14ac:dyDescent="0.25">
      <c r="A222" s="12"/>
      <c r="B222" s="12"/>
      <c r="C222" s="12"/>
      <c r="D222" s="12"/>
      <c r="E222" s="12"/>
      <c r="F222" s="12"/>
      <c r="G222" s="12"/>
      <c r="H222" s="12"/>
      <c r="I222" s="12"/>
      <c r="J222" s="12"/>
      <c r="K222" s="12"/>
      <c r="L222" s="12"/>
      <c r="M222" s="12"/>
    </row>
    <row r="223" spans="1:13" x14ac:dyDescent="0.25">
      <c r="A223" s="12"/>
      <c r="B223" s="12"/>
      <c r="C223" s="12"/>
      <c r="D223" s="12"/>
      <c r="E223" s="12"/>
      <c r="F223" s="12"/>
      <c r="G223" s="12"/>
      <c r="H223" s="12"/>
      <c r="I223" s="12"/>
      <c r="J223" s="12"/>
      <c r="K223" s="12"/>
      <c r="L223" s="12"/>
      <c r="M223" s="12"/>
    </row>
    <row r="224" spans="1:13" x14ac:dyDescent="0.25">
      <c r="A224" s="12"/>
      <c r="B224" s="12"/>
      <c r="C224" s="12"/>
      <c r="D224" s="12"/>
      <c r="E224" s="12"/>
      <c r="F224" s="12"/>
      <c r="G224" s="12"/>
      <c r="H224" s="12"/>
      <c r="I224" s="12"/>
      <c r="J224" s="12"/>
      <c r="K224" s="12"/>
      <c r="L224" s="12"/>
      <c r="M224" s="12"/>
    </row>
    <row r="225" spans="1:13" x14ac:dyDescent="0.25">
      <c r="A225" s="12"/>
      <c r="B225" s="12"/>
      <c r="C225" s="12"/>
      <c r="D225" s="12"/>
      <c r="E225" s="12"/>
      <c r="F225" s="12"/>
      <c r="G225" s="12"/>
      <c r="H225" s="12"/>
      <c r="I225" s="12"/>
      <c r="J225" s="12"/>
      <c r="K225" s="12"/>
      <c r="L225" s="12"/>
      <c r="M225" s="12"/>
    </row>
    <row r="226" spans="1:13" x14ac:dyDescent="0.25">
      <c r="A226" s="12"/>
      <c r="B226" s="12"/>
      <c r="C226" s="12"/>
      <c r="D226" s="12"/>
      <c r="E226" s="12"/>
      <c r="F226" s="12"/>
      <c r="G226" s="12"/>
      <c r="H226" s="12"/>
      <c r="I226" s="12"/>
      <c r="J226" s="12"/>
      <c r="K226" s="12"/>
      <c r="L226" s="12"/>
      <c r="M226" s="12"/>
    </row>
    <row r="227" spans="1:13" x14ac:dyDescent="0.25">
      <c r="A227" s="12"/>
      <c r="B227" s="12"/>
      <c r="C227" s="12"/>
      <c r="D227" s="12"/>
      <c r="E227" s="12"/>
      <c r="F227" s="12"/>
      <c r="G227" s="12"/>
      <c r="H227" s="12"/>
      <c r="I227" s="12"/>
      <c r="J227" s="12"/>
      <c r="K227" s="12"/>
      <c r="L227" s="12"/>
      <c r="M227" s="12"/>
    </row>
    <row r="228" spans="1:13" x14ac:dyDescent="0.25">
      <c r="A228" s="12"/>
      <c r="B228" s="12"/>
      <c r="C228" s="12"/>
      <c r="D228" s="12"/>
      <c r="E228" s="12"/>
      <c r="F228" s="12"/>
      <c r="G228" s="12"/>
      <c r="H228" s="12"/>
      <c r="I228" s="12"/>
      <c r="J228" s="12"/>
      <c r="K228" s="12"/>
      <c r="L228" s="12"/>
      <c r="M228" s="12"/>
    </row>
    <row r="229" spans="1:13" x14ac:dyDescent="0.25">
      <c r="A229" s="12"/>
      <c r="B229" s="12"/>
      <c r="C229" s="12"/>
      <c r="D229" s="12"/>
      <c r="E229" s="12"/>
      <c r="F229" s="12"/>
      <c r="G229" s="12"/>
      <c r="H229" s="12"/>
      <c r="I229" s="12"/>
      <c r="J229" s="12"/>
      <c r="K229" s="12"/>
      <c r="L229" s="12"/>
      <c r="M229" s="12"/>
    </row>
    <row r="230" spans="1:13" x14ac:dyDescent="0.25">
      <c r="A230" s="12"/>
      <c r="B230" s="12"/>
      <c r="C230" s="12"/>
      <c r="D230" s="12"/>
      <c r="E230" s="12"/>
      <c r="F230" s="12"/>
      <c r="G230" s="12"/>
      <c r="H230" s="12"/>
      <c r="I230" s="12"/>
      <c r="J230" s="12"/>
      <c r="K230" s="12"/>
      <c r="L230" s="12"/>
      <c r="M230" s="12"/>
    </row>
    <row r="231" spans="1:13" x14ac:dyDescent="0.25">
      <c r="A231" s="12"/>
      <c r="B231" s="12"/>
      <c r="C231" s="12"/>
      <c r="D231" s="12"/>
      <c r="E231" s="12"/>
      <c r="F231" s="12"/>
      <c r="G231" s="12"/>
      <c r="H231" s="12"/>
      <c r="I231" s="12"/>
      <c r="J231" s="12"/>
      <c r="K231" s="12"/>
      <c r="L231" s="12"/>
      <c r="M231" s="12"/>
    </row>
    <row r="232" spans="1:13" x14ac:dyDescent="0.25">
      <c r="A232" s="12"/>
      <c r="B232" s="12"/>
      <c r="C232" s="12"/>
      <c r="D232" s="12"/>
      <c r="E232" s="12"/>
      <c r="F232" s="12"/>
      <c r="G232" s="12"/>
      <c r="H232" s="12"/>
      <c r="I232" s="12"/>
      <c r="J232" s="12"/>
      <c r="K232" s="12"/>
      <c r="L232" s="12"/>
      <c r="M232" s="12"/>
    </row>
    <row r="233" spans="1:13" x14ac:dyDescent="0.25">
      <c r="A233" s="12"/>
      <c r="B233" s="12"/>
      <c r="C233" s="12"/>
      <c r="D233" s="12"/>
      <c r="E233" s="12"/>
      <c r="F233" s="12"/>
      <c r="G233" s="12"/>
      <c r="H233" s="12"/>
      <c r="I233" s="12"/>
      <c r="J233" s="12"/>
      <c r="K233" s="12"/>
      <c r="L233" s="12"/>
      <c r="M233" s="12"/>
    </row>
    <row r="234" spans="1:13" x14ac:dyDescent="0.25">
      <c r="A234" s="12"/>
      <c r="B234" s="12"/>
      <c r="C234" s="12"/>
      <c r="D234" s="12"/>
      <c r="E234" s="12"/>
      <c r="F234" s="12"/>
      <c r="G234" s="12"/>
      <c r="H234" s="12"/>
      <c r="I234" s="12"/>
      <c r="J234" s="12"/>
      <c r="K234" s="12"/>
      <c r="L234" s="12"/>
      <c r="M234" s="12"/>
    </row>
    <row r="235" spans="1:13" x14ac:dyDescent="0.25">
      <c r="A235" s="12"/>
      <c r="B235" s="12"/>
      <c r="C235" s="12"/>
      <c r="D235" s="12"/>
      <c r="E235" s="12"/>
      <c r="F235" s="12"/>
      <c r="G235" s="12"/>
      <c r="H235" s="12"/>
      <c r="I235" s="12"/>
      <c r="J235" s="12"/>
      <c r="K235" s="12"/>
      <c r="L235" s="12"/>
      <c r="M235" s="12"/>
    </row>
    <row r="236" spans="1:13" x14ac:dyDescent="0.25">
      <c r="A236" s="12"/>
      <c r="B236" s="12"/>
      <c r="C236" s="12"/>
      <c r="D236" s="12"/>
      <c r="E236" s="12"/>
      <c r="F236" s="12"/>
      <c r="G236" s="12"/>
      <c r="H236" s="12"/>
      <c r="I236" s="12"/>
      <c r="J236" s="12"/>
      <c r="K236" s="12"/>
      <c r="L236" s="12"/>
      <c r="M236" s="12"/>
    </row>
    <row r="237" spans="1:13" x14ac:dyDescent="0.25">
      <c r="A237" s="12"/>
      <c r="B237" s="12"/>
      <c r="C237" s="12"/>
      <c r="D237" s="12"/>
      <c r="E237" s="12"/>
      <c r="F237" s="12"/>
      <c r="G237" s="12"/>
      <c r="H237" s="12"/>
      <c r="I237" s="12"/>
      <c r="J237" s="12"/>
      <c r="K237" s="12"/>
      <c r="L237" s="12"/>
      <c r="M237" s="12"/>
    </row>
    <row r="238" spans="1:13" x14ac:dyDescent="0.25">
      <c r="A238" s="12"/>
      <c r="B238" s="12"/>
      <c r="C238" s="12"/>
      <c r="D238" s="12"/>
      <c r="E238" s="12"/>
      <c r="F238" s="12"/>
      <c r="G238" s="12"/>
      <c r="H238" s="12"/>
      <c r="I238" s="12"/>
      <c r="J238" s="12"/>
      <c r="K238" s="12"/>
      <c r="L238" s="12"/>
      <c r="M238" s="12"/>
    </row>
    <row r="239" spans="1:13" x14ac:dyDescent="0.25">
      <c r="A239" s="12"/>
      <c r="B239" s="12"/>
      <c r="C239" s="12"/>
      <c r="D239" s="12"/>
      <c r="E239" s="12"/>
      <c r="F239" s="12"/>
      <c r="G239" s="12"/>
      <c r="H239" s="12"/>
      <c r="I239" s="12"/>
      <c r="J239" s="12"/>
      <c r="K239" s="12"/>
      <c r="L239" s="12"/>
      <c r="M239" s="12"/>
    </row>
    <row r="240" spans="1:13" x14ac:dyDescent="0.25">
      <c r="A240" s="12"/>
      <c r="B240" s="12"/>
      <c r="C240" s="12"/>
      <c r="D240" s="12"/>
      <c r="E240" s="12"/>
      <c r="F240" s="12"/>
      <c r="G240" s="12"/>
      <c r="H240" s="12"/>
      <c r="I240" s="12"/>
      <c r="J240" s="12"/>
      <c r="K240" s="12"/>
      <c r="L240" s="12"/>
      <c r="M240" s="12"/>
    </row>
    <row r="241" spans="1:13" x14ac:dyDescent="0.25">
      <c r="A241" s="12"/>
      <c r="B241" s="12"/>
      <c r="C241" s="12"/>
      <c r="D241" s="12"/>
      <c r="E241" s="12"/>
      <c r="F241" s="12"/>
      <c r="G241" s="12"/>
      <c r="H241" s="12"/>
      <c r="I241" s="12"/>
      <c r="J241" s="12"/>
      <c r="K241" s="12"/>
      <c r="L241" s="12"/>
      <c r="M241" s="12"/>
    </row>
    <row r="242" spans="1:13" x14ac:dyDescent="0.25">
      <c r="A242" s="12"/>
      <c r="B242" s="12"/>
      <c r="C242" s="12"/>
      <c r="D242" s="12"/>
      <c r="E242" s="12"/>
      <c r="F242" s="12"/>
      <c r="G242" s="12"/>
      <c r="H242" s="12"/>
      <c r="I242" s="12"/>
      <c r="J242" s="12"/>
      <c r="K242" s="12"/>
      <c r="L242" s="12"/>
      <c r="M242" s="12"/>
    </row>
    <row r="243" spans="1:13" x14ac:dyDescent="0.25">
      <c r="A243" s="12"/>
      <c r="B243" s="12"/>
      <c r="C243" s="12"/>
      <c r="D243" s="12"/>
      <c r="E243" s="12"/>
      <c r="F243" s="12"/>
      <c r="G243" s="12"/>
      <c r="H243" s="12"/>
      <c r="I243" s="12"/>
      <c r="J243" s="12"/>
      <c r="K243" s="12"/>
      <c r="L243" s="12"/>
      <c r="M243" s="12"/>
    </row>
    <row r="244" spans="1:13" x14ac:dyDescent="0.25">
      <c r="A244" s="12"/>
      <c r="B244" s="12"/>
      <c r="C244" s="12"/>
      <c r="D244" s="12"/>
      <c r="E244" s="12"/>
      <c r="F244" s="12"/>
      <c r="G244" s="12"/>
      <c r="H244" s="12"/>
      <c r="I244" s="12"/>
      <c r="J244" s="12"/>
      <c r="K244" s="12"/>
      <c r="L244" s="12"/>
      <c r="M244" s="12"/>
    </row>
    <row r="245" spans="1:13" x14ac:dyDescent="0.25">
      <c r="A245" s="12"/>
      <c r="B245" s="12"/>
      <c r="C245" s="12"/>
      <c r="D245" s="12"/>
      <c r="E245" s="12"/>
      <c r="F245" s="12"/>
      <c r="G245" s="12"/>
      <c r="H245" s="12"/>
      <c r="I245" s="12"/>
      <c r="J245" s="12"/>
      <c r="K245" s="12"/>
      <c r="L245" s="12"/>
      <c r="M245" s="12"/>
    </row>
    <row r="246" spans="1:13" x14ac:dyDescent="0.25">
      <c r="A246" s="12"/>
      <c r="B246" s="12"/>
      <c r="C246" s="12"/>
      <c r="D246" s="12"/>
      <c r="E246" s="12"/>
      <c r="F246" s="12"/>
      <c r="G246" s="12"/>
      <c r="H246" s="12"/>
      <c r="I246" s="12"/>
      <c r="J246" s="12"/>
      <c r="K246" s="12"/>
      <c r="L246" s="12"/>
      <c r="M246" s="12"/>
    </row>
    <row r="247" spans="1:13" x14ac:dyDescent="0.25">
      <c r="A247" s="12"/>
      <c r="B247" s="12"/>
      <c r="C247" s="12"/>
      <c r="D247" s="12"/>
      <c r="E247" s="12"/>
      <c r="F247" s="12"/>
      <c r="G247" s="12"/>
      <c r="H247" s="12"/>
      <c r="I247" s="12"/>
      <c r="J247" s="12"/>
      <c r="K247" s="12"/>
      <c r="L247" s="12"/>
      <c r="M247" s="12"/>
    </row>
    <row r="248" spans="1:13" x14ac:dyDescent="0.25">
      <c r="A248" s="12"/>
      <c r="B248" s="12"/>
      <c r="C248" s="12"/>
      <c r="D248" s="12"/>
      <c r="E248" s="12"/>
      <c r="F248" s="12"/>
      <c r="G248" s="12"/>
      <c r="H248" s="12"/>
      <c r="I248" s="12"/>
      <c r="J248" s="12"/>
      <c r="K248" s="12"/>
      <c r="L248" s="12"/>
      <c r="M248" s="12"/>
    </row>
    <row r="249" spans="1:13" x14ac:dyDescent="0.25">
      <c r="A249" s="12"/>
      <c r="B249" s="12"/>
      <c r="C249" s="12"/>
      <c r="D249" s="12"/>
      <c r="E249" s="12"/>
      <c r="F249" s="12"/>
      <c r="G249" s="12"/>
      <c r="H249" s="12"/>
      <c r="I249" s="12"/>
      <c r="J249" s="12"/>
      <c r="K249" s="12"/>
      <c r="L249" s="12"/>
      <c r="M249" s="12"/>
    </row>
    <row r="250" spans="1:13" x14ac:dyDescent="0.25">
      <c r="A250" s="12"/>
      <c r="B250" s="12"/>
      <c r="C250" s="12"/>
      <c r="D250" s="12"/>
      <c r="E250" s="12"/>
      <c r="F250" s="12"/>
      <c r="G250" s="12"/>
      <c r="H250" s="12"/>
      <c r="I250" s="12"/>
      <c r="J250" s="12"/>
      <c r="K250" s="12"/>
      <c r="L250" s="12"/>
      <c r="M250" s="12"/>
    </row>
    <row r="251" spans="1:13" x14ac:dyDescent="0.25">
      <c r="A251" s="12"/>
      <c r="B251" s="12"/>
      <c r="C251" s="12"/>
      <c r="D251" s="12"/>
      <c r="E251" s="12"/>
      <c r="F251" s="12"/>
      <c r="G251" s="12"/>
      <c r="H251" s="12"/>
      <c r="I251" s="12"/>
      <c r="J251" s="12"/>
      <c r="K251" s="12"/>
      <c r="L251" s="12"/>
      <c r="M251" s="12"/>
    </row>
    <row r="252" spans="1:13" x14ac:dyDescent="0.25">
      <c r="A252" s="12"/>
      <c r="B252" s="12"/>
      <c r="C252" s="12"/>
      <c r="D252" s="12"/>
      <c r="E252" s="12"/>
      <c r="F252" s="12"/>
      <c r="G252" s="12"/>
      <c r="H252" s="12"/>
      <c r="I252" s="12"/>
      <c r="J252" s="12"/>
      <c r="K252" s="12"/>
      <c r="L252" s="12"/>
      <c r="M252" s="12"/>
    </row>
    <row r="253" spans="1:13" x14ac:dyDescent="0.25">
      <c r="A253" s="12"/>
      <c r="B253" s="12"/>
      <c r="C253" s="12"/>
      <c r="D253" s="12"/>
      <c r="E253" s="12"/>
      <c r="F253" s="12"/>
      <c r="G253" s="12"/>
      <c r="H253" s="12"/>
      <c r="I253" s="12"/>
      <c r="J253" s="12"/>
      <c r="K253" s="12"/>
      <c r="L253" s="12"/>
      <c r="M253" s="12"/>
    </row>
    <row r="254" spans="1:13" x14ac:dyDescent="0.25">
      <c r="A254" s="12"/>
      <c r="B254" s="12"/>
      <c r="C254" s="12"/>
      <c r="D254" s="12"/>
      <c r="E254" s="12"/>
      <c r="F254" s="12"/>
      <c r="G254" s="12"/>
      <c r="H254" s="12"/>
      <c r="I254" s="12"/>
      <c r="J254" s="12"/>
      <c r="K254" s="12"/>
      <c r="L254" s="12"/>
      <c r="M254" s="12"/>
    </row>
    <row r="255" spans="1:13" x14ac:dyDescent="0.25">
      <c r="A255" s="12"/>
      <c r="B255" s="12"/>
      <c r="C255" s="12"/>
      <c r="D255" s="12"/>
      <c r="E255" s="12"/>
      <c r="F255" s="12"/>
      <c r="G255" s="12"/>
      <c r="H255" s="12"/>
      <c r="I255" s="12"/>
      <c r="J255" s="12"/>
      <c r="K255" s="12"/>
      <c r="L255" s="12"/>
      <c r="M255" s="12"/>
    </row>
    <row r="256" spans="1:13" x14ac:dyDescent="0.25">
      <c r="A256" s="12"/>
      <c r="B256" s="12"/>
      <c r="C256" s="12"/>
      <c r="D256" s="12"/>
      <c r="E256" s="12"/>
      <c r="F256" s="12"/>
      <c r="G256" s="12"/>
      <c r="H256" s="12"/>
      <c r="I256" s="12"/>
      <c r="J256" s="12"/>
      <c r="K256" s="12"/>
      <c r="L256" s="12"/>
      <c r="M256" s="12"/>
    </row>
    <row r="257" spans="1:13" x14ac:dyDescent="0.25">
      <c r="A257" s="12"/>
      <c r="B257" s="12"/>
      <c r="C257" s="12"/>
      <c r="D257" s="12"/>
      <c r="E257" s="12"/>
      <c r="F257" s="12"/>
      <c r="G257" s="12"/>
      <c r="H257" s="12"/>
      <c r="I257" s="12"/>
      <c r="J257" s="12"/>
      <c r="K257" s="12"/>
      <c r="L257" s="12"/>
      <c r="M257" s="12"/>
    </row>
    <row r="258" spans="1:13" x14ac:dyDescent="0.25">
      <c r="A258" s="12"/>
      <c r="B258" s="12"/>
      <c r="C258" s="12"/>
      <c r="D258" s="12"/>
      <c r="E258" s="12"/>
      <c r="F258" s="12"/>
      <c r="G258" s="12"/>
      <c r="H258" s="12"/>
      <c r="I258" s="12"/>
      <c r="J258" s="12"/>
      <c r="K258" s="12"/>
      <c r="L258" s="12"/>
      <c r="M258" s="12"/>
    </row>
    <row r="259" spans="1:13" x14ac:dyDescent="0.25">
      <c r="A259" s="12"/>
      <c r="B259" s="12"/>
      <c r="C259" s="12"/>
      <c r="D259" s="12"/>
      <c r="E259" s="12"/>
      <c r="F259" s="12"/>
      <c r="G259" s="12"/>
      <c r="H259" s="12"/>
      <c r="I259" s="12"/>
      <c r="J259" s="12"/>
      <c r="K259" s="12"/>
      <c r="L259" s="12"/>
      <c r="M259" s="12"/>
    </row>
    <row r="260" spans="1:13" x14ac:dyDescent="0.25">
      <c r="A260" s="12"/>
      <c r="B260" s="12"/>
      <c r="C260" s="12"/>
      <c r="D260" s="12"/>
      <c r="E260" s="12"/>
      <c r="F260" s="12"/>
      <c r="G260" s="12"/>
      <c r="H260" s="12"/>
      <c r="I260" s="12"/>
      <c r="J260" s="12"/>
      <c r="K260" s="12"/>
      <c r="L260" s="12"/>
      <c r="M260" s="12"/>
    </row>
    <row r="261" spans="1:13" x14ac:dyDescent="0.25">
      <c r="A261" s="12"/>
      <c r="B261" s="12"/>
      <c r="C261" s="12"/>
      <c r="D261" s="12"/>
      <c r="E261" s="12"/>
      <c r="F261" s="12"/>
      <c r="G261" s="12"/>
      <c r="H261" s="12"/>
      <c r="I261" s="12"/>
      <c r="J261" s="12"/>
      <c r="K261" s="12"/>
      <c r="L261" s="12"/>
      <c r="M261" s="12"/>
    </row>
    <row r="262" spans="1:13" x14ac:dyDescent="0.25">
      <c r="A262" s="12"/>
      <c r="B262" s="12"/>
      <c r="C262" s="12"/>
      <c r="D262" s="12"/>
      <c r="E262" s="12"/>
      <c r="F262" s="12"/>
      <c r="G262" s="12"/>
      <c r="H262" s="12"/>
      <c r="I262" s="12"/>
      <c r="J262" s="12"/>
      <c r="K262" s="12"/>
      <c r="L262" s="12"/>
      <c r="M262" s="12"/>
    </row>
    <row r="263" spans="1:13" x14ac:dyDescent="0.25">
      <c r="A263" s="12"/>
      <c r="B263" s="12"/>
      <c r="C263" s="12"/>
      <c r="D263" s="12"/>
      <c r="E263" s="12"/>
      <c r="F263" s="12"/>
      <c r="G263" s="12"/>
      <c r="H263" s="12"/>
      <c r="I263" s="12"/>
      <c r="J263" s="12"/>
      <c r="K263" s="12"/>
      <c r="L263" s="12"/>
      <c r="M263" s="12"/>
    </row>
    <row r="264" spans="1:13" x14ac:dyDescent="0.25">
      <c r="A264" s="12"/>
      <c r="B264" s="12"/>
      <c r="C264" s="12"/>
      <c r="D264" s="12"/>
      <c r="E264" s="12"/>
      <c r="F264" s="12"/>
      <c r="G264" s="12"/>
      <c r="H264" s="12"/>
      <c r="I264" s="12"/>
      <c r="J264" s="12"/>
      <c r="K264" s="12"/>
      <c r="L264" s="12"/>
      <c r="M264" s="12"/>
    </row>
    <row r="265" spans="1:13" x14ac:dyDescent="0.25">
      <c r="A265" s="12"/>
      <c r="B265" s="12"/>
      <c r="C265" s="12"/>
      <c r="D265" s="12"/>
      <c r="E265" s="12"/>
      <c r="F265" s="12"/>
      <c r="G265" s="12"/>
      <c r="H265" s="12"/>
      <c r="I265" s="12"/>
      <c r="J265" s="12"/>
      <c r="K265" s="12"/>
      <c r="L265" s="12"/>
      <c r="M265" s="12"/>
    </row>
    <row r="266" spans="1:13" x14ac:dyDescent="0.25">
      <c r="A266" s="12"/>
      <c r="B266" s="12"/>
      <c r="C266" s="12"/>
      <c r="D266" s="12"/>
      <c r="E266" s="12"/>
      <c r="F266" s="12"/>
      <c r="G266" s="12"/>
      <c r="H266" s="12"/>
      <c r="I266" s="12"/>
      <c r="J266" s="12"/>
      <c r="K266" s="12"/>
      <c r="L266" s="12"/>
      <c r="M266" s="12"/>
    </row>
    <row r="267" spans="1:13" x14ac:dyDescent="0.25">
      <c r="A267" s="12"/>
      <c r="B267" s="12"/>
      <c r="C267" s="12"/>
      <c r="D267" s="12"/>
      <c r="E267" s="12"/>
      <c r="F267" s="12"/>
      <c r="G267" s="12"/>
      <c r="H267" s="12"/>
      <c r="I267" s="12"/>
      <c r="J267" s="12"/>
      <c r="K267" s="12"/>
      <c r="L267" s="12"/>
      <c r="M267" s="12"/>
    </row>
    <row r="268" spans="1:13" x14ac:dyDescent="0.25">
      <c r="A268" s="12"/>
      <c r="B268" s="12"/>
      <c r="C268" s="12"/>
      <c r="D268" s="12"/>
      <c r="E268" s="12"/>
      <c r="F268" s="12"/>
      <c r="G268" s="12"/>
      <c r="H268" s="12"/>
      <c r="I268" s="12"/>
      <c r="J268" s="12"/>
      <c r="K268" s="12"/>
      <c r="L268" s="12"/>
      <c r="M268" s="12"/>
    </row>
    <row r="269" spans="1:13" x14ac:dyDescent="0.25">
      <c r="A269" s="12"/>
      <c r="B269" s="12"/>
      <c r="C269" s="12"/>
      <c r="D269" s="12"/>
      <c r="E269" s="12"/>
      <c r="F269" s="12"/>
      <c r="G269" s="12"/>
      <c r="H269" s="12"/>
      <c r="I269" s="12"/>
      <c r="J269" s="12"/>
      <c r="K269" s="12"/>
      <c r="L269" s="12"/>
      <c r="M269" s="12"/>
    </row>
    <row r="270" spans="1:13" x14ac:dyDescent="0.25">
      <c r="A270" s="12"/>
      <c r="B270" s="12"/>
      <c r="C270" s="12"/>
      <c r="D270" s="12"/>
      <c r="E270" s="12"/>
      <c r="F270" s="12"/>
      <c r="G270" s="12"/>
      <c r="H270" s="12"/>
      <c r="I270" s="12"/>
      <c r="J270" s="12"/>
      <c r="K270" s="12"/>
      <c r="L270" s="12"/>
      <c r="M270" s="12"/>
    </row>
    <row r="271" spans="1:13" x14ac:dyDescent="0.25">
      <c r="A271" s="12"/>
      <c r="B271" s="12"/>
      <c r="C271" s="12"/>
      <c r="D271" s="12"/>
      <c r="E271" s="12"/>
      <c r="F271" s="12"/>
      <c r="G271" s="12"/>
      <c r="H271" s="12"/>
      <c r="I271" s="12"/>
      <c r="J271" s="12"/>
      <c r="K271" s="12"/>
      <c r="L271" s="12"/>
      <c r="M271" s="12"/>
    </row>
    <row r="272" spans="1:13" x14ac:dyDescent="0.25">
      <c r="A272" s="12"/>
      <c r="B272" s="12"/>
      <c r="C272" s="12"/>
      <c r="D272" s="12"/>
      <c r="E272" s="12"/>
      <c r="F272" s="12"/>
      <c r="G272" s="12"/>
      <c r="H272" s="12"/>
      <c r="I272" s="12"/>
      <c r="J272" s="12"/>
      <c r="K272" s="12"/>
      <c r="L272" s="12"/>
      <c r="M272" s="12"/>
    </row>
    <row r="273" spans="1:13" x14ac:dyDescent="0.25">
      <c r="A273" s="12"/>
      <c r="B273" s="12"/>
      <c r="C273" s="12"/>
      <c r="D273" s="12"/>
      <c r="E273" s="12"/>
      <c r="F273" s="12"/>
      <c r="G273" s="12"/>
      <c r="H273" s="12"/>
      <c r="I273" s="12"/>
      <c r="J273" s="12"/>
      <c r="K273" s="12"/>
      <c r="L273" s="12"/>
      <c r="M273" s="12"/>
    </row>
    <row r="274" spans="1:13" x14ac:dyDescent="0.25">
      <c r="A274" s="12"/>
      <c r="B274" s="12"/>
      <c r="C274" s="12"/>
      <c r="D274" s="12"/>
      <c r="E274" s="12"/>
      <c r="F274" s="12"/>
      <c r="G274" s="12"/>
      <c r="H274" s="12"/>
      <c r="I274" s="12"/>
      <c r="J274" s="12"/>
      <c r="K274" s="12"/>
      <c r="L274" s="12"/>
      <c r="M274" s="12"/>
    </row>
    <row r="275" spans="1:13" x14ac:dyDescent="0.25">
      <c r="A275" s="12"/>
      <c r="B275" s="12"/>
      <c r="C275" s="12"/>
      <c r="D275" s="12"/>
      <c r="E275" s="12"/>
      <c r="F275" s="12"/>
      <c r="G275" s="12"/>
      <c r="H275" s="12"/>
      <c r="I275" s="12"/>
      <c r="J275" s="12"/>
      <c r="K275" s="12"/>
      <c r="L275" s="12"/>
      <c r="M275" s="12"/>
    </row>
    <row r="276" spans="1:13" x14ac:dyDescent="0.25">
      <c r="A276" s="12"/>
      <c r="B276" s="12"/>
      <c r="C276" s="12"/>
      <c r="D276" s="12"/>
      <c r="E276" s="12"/>
      <c r="F276" s="12"/>
      <c r="G276" s="12"/>
      <c r="H276" s="12"/>
      <c r="I276" s="12"/>
      <c r="J276" s="12"/>
      <c r="K276" s="12"/>
      <c r="L276" s="12"/>
      <c r="M276" s="12"/>
    </row>
    <row r="277" spans="1:13" x14ac:dyDescent="0.25">
      <c r="A277" s="12"/>
      <c r="B277" s="12"/>
      <c r="C277" s="12"/>
      <c r="D277" s="12"/>
      <c r="E277" s="12"/>
      <c r="F277" s="12"/>
      <c r="G277" s="12"/>
      <c r="H277" s="12"/>
      <c r="I277" s="12"/>
      <c r="J277" s="12"/>
      <c r="K277" s="12"/>
      <c r="L277" s="12"/>
      <c r="M277" s="12"/>
    </row>
    <row r="278" spans="1:13" x14ac:dyDescent="0.25">
      <c r="A278" s="12"/>
      <c r="B278" s="12"/>
      <c r="C278" s="12"/>
      <c r="D278" s="12"/>
      <c r="E278" s="12"/>
      <c r="F278" s="12"/>
      <c r="G278" s="12"/>
      <c r="H278" s="12"/>
      <c r="I278" s="12"/>
      <c r="J278" s="12"/>
      <c r="K278" s="12"/>
      <c r="L278" s="12"/>
      <c r="M278" s="12"/>
    </row>
    <row r="279" spans="1:13" x14ac:dyDescent="0.25">
      <c r="A279" s="12"/>
      <c r="B279" s="12"/>
      <c r="C279" s="12"/>
      <c r="D279" s="12"/>
      <c r="E279" s="12"/>
      <c r="F279" s="12"/>
      <c r="G279" s="12"/>
      <c r="H279" s="12"/>
      <c r="I279" s="12"/>
      <c r="J279" s="12"/>
      <c r="K279" s="12"/>
      <c r="L279" s="12"/>
      <c r="M279" s="12"/>
    </row>
    <row r="280" spans="1:13" x14ac:dyDescent="0.25">
      <c r="A280" s="12"/>
      <c r="B280" s="12"/>
      <c r="C280" s="12"/>
      <c r="D280" s="12"/>
      <c r="E280" s="12"/>
      <c r="F280" s="12"/>
      <c r="G280" s="12"/>
      <c r="H280" s="12"/>
      <c r="I280" s="12"/>
      <c r="J280" s="12"/>
      <c r="K280" s="12"/>
      <c r="L280" s="12"/>
      <c r="M280" s="12"/>
    </row>
    <row r="281" spans="1:13" x14ac:dyDescent="0.25">
      <c r="A281" s="12"/>
      <c r="B281" s="12"/>
      <c r="C281" s="12"/>
      <c r="D281" s="12"/>
      <c r="E281" s="12"/>
      <c r="F281" s="12"/>
      <c r="G281" s="12"/>
      <c r="H281" s="12"/>
      <c r="I281" s="12"/>
      <c r="J281" s="12"/>
      <c r="K281" s="12"/>
      <c r="L281" s="12"/>
      <c r="M281" s="12"/>
    </row>
    <row r="282" spans="1:13" x14ac:dyDescent="0.25">
      <c r="A282" s="12"/>
      <c r="B282" s="12"/>
      <c r="C282" s="12"/>
      <c r="D282" s="12"/>
      <c r="E282" s="12"/>
      <c r="F282" s="12"/>
      <c r="G282" s="12"/>
      <c r="H282" s="12"/>
      <c r="I282" s="12"/>
      <c r="J282" s="12"/>
      <c r="K282" s="12"/>
      <c r="L282" s="12"/>
      <c r="M282" s="12"/>
    </row>
    <row r="283" spans="1:13" x14ac:dyDescent="0.25">
      <c r="A283" s="12"/>
      <c r="B283" s="12"/>
      <c r="C283" s="12"/>
      <c r="D283" s="12"/>
      <c r="E283" s="12"/>
      <c r="F283" s="12"/>
      <c r="G283" s="12"/>
      <c r="H283" s="12"/>
      <c r="I283" s="12"/>
      <c r="J283" s="12"/>
      <c r="K283" s="12"/>
      <c r="L283" s="12"/>
      <c r="M283" s="12"/>
    </row>
    <row r="284" spans="1:13" x14ac:dyDescent="0.25">
      <c r="A284" s="12"/>
      <c r="B284" s="12"/>
      <c r="C284" s="12"/>
      <c r="D284" s="12"/>
      <c r="E284" s="12"/>
      <c r="F284" s="12"/>
      <c r="G284" s="12"/>
      <c r="H284" s="12"/>
      <c r="I284" s="12"/>
      <c r="J284" s="12"/>
      <c r="K284" s="12"/>
      <c r="L284" s="12"/>
      <c r="M284" s="12"/>
    </row>
    <row r="285" spans="1:13" x14ac:dyDescent="0.25">
      <c r="A285" s="12"/>
      <c r="B285" s="12"/>
      <c r="C285" s="12"/>
      <c r="D285" s="12"/>
      <c r="E285" s="12"/>
      <c r="F285" s="12"/>
      <c r="G285" s="12"/>
      <c r="H285" s="12"/>
      <c r="I285" s="12"/>
      <c r="J285" s="12"/>
      <c r="K285" s="12"/>
      <c r="L285" s="12"/>
      <c r="M285" s="12"/>
    </row>
    <row r="286" spans="1:13" x14ac:dyDescent="0.25">
      <c r="A286" s="12"/>
      <c r="B286" s="12"/>
      <c r="C286" s="12"/>
      <c r="D286" s="12"/>
      <c r="E286" s="12"/>
      <c r="F286" s="12"/>
      <c r="G286" s="12"/>
      <c r="H286" s="12"/>
      <c r="I286" s="12"/>
      <c r="J286" s="12"/>
      <c r="K286" s="12"/>
      <c r="L286" s="12"/>
      <c r="M286" s="12"/>
    </row>
    <row r="287" spans="1:13" x14ac:dyDescent="0.25">
      <c r="A287" s="12"/>
      <c r="B287" s="12"/>
      <c r="C287" s="12"/>
      <c r="D287" s="12"/>
      <c r="E287" s="12"/>
      <c r="F287" s="12"/>
      <c r="G287" s="12"/>
      <c r="H287" s="12"/>
      <c r="I287" s="12"/>
      <c r="J287" s="12"/>
      <c r="K287" s="12"/>
      <c r="L287" s="12"/>
      <c r="M287" s="12"/>
    </row>
    <row r="288" spans="1:13" x14ac:dyDescent="0.25">
      <c r="A288" s="12"/>
      <c r="B288" s="12"/>
      <c r="C288" s="12"/>
      <c r="D288" s="12"/>
      <c r="E288" s="12"/>
      <c r="F288" s="12"/>
      <c r="G288" s="12"/>
      <c r="H288" s="12"/>
      <c r="I288" s="12"/>
      <c r="J288" s="12"/>
      <c r="K288" s="12"/>
      <c r="L288" s="12"/>
      <c r="M288" s="12"/>
    </row>
    <row r="289" spans="1:13" x14ac:dyDescent="0.25">
      <c r="A289" s="12"/>
      <c r="B289" s="12"/>
      <c r="C289" s="12"/>
      <c r="D289" s="12"/>
      <c r="E289" s="12"/>
      <c r="F289" s="12"/>
      <c r="G289" s="12"/>
      <c r="H289" s="12"/>
      <c r="I289" s="12"/>
      <c r="J289" s="12"/>
      <c r="K289" s="12"/>
      <c r="L289" s="12"/>
      <c r="M289" s="12"/>
    </row>
    <row r="290" spans="1:13" x14ac:dyDescent="0.25">
      <c r="A290" s="12"/>
      <c r="B290" s="12"/>
      <c r="C290" s="12"/>
      <c r="D290" s="12"/>
      <c r="E290" s="12"/>
      <c r="F290" s="12"/>
      <c r="G290" s="12"/>
      <c r="H290" s="12"/>
      <c r="I290" s="12"/>
      <c r="J290" s="12"/>
      <c r="K290" s="12"/>
      <c r="L290" s="12"/>
      <c r="M290" s="12"/>
    </row>
    <row r="291" spans="1:13" x14ac:dyDescent="0.25">
      <c r="A291" s="12"/>
      <c r="B291" s="12"/>
      <c r="C291" s="12"/>
      <c r="D291" s="12"/>
      <c r="E291" s="12"/>
      <c r="F291" s="12"/>
      <c r="G291" s="12"/>
      <c r="H291" s="12"/>
      <c r="I291" s="12"/>
      <c r="J291" s="12"/>
      <c r="K291" s="12"/>
      <c r="L291" s="12"/>
      <c r="M291" s="12"/>
    </row>
    <row r="292" spans="1:13" x14ac:dyDescent="0.25">
      <c r="A292" s="12"/>
      <c r="B292" s="12"/>
      <c r="C292" s="12"/>
      <c r="D292" s="12"/>
      <c r="E292" s="12"/>
      <c r="F292" s="12"/>
      <c r="G292" s="12"/>
      <c r="H292" s="12"/>
      <c r="I292" s="12"/>
      <c r="J292" s="12"/>
      <c r="K292" s="12"/>
      <c r="L292" s="12"/>
      <c r="M292" s="12"/>
    </row>
    <row r="293" spans="1:13" x14ac:dyDescent="0.25">
      <c r="A293" s="12"/>
      <c r="B293" s="12"/>
      <c r="C293" s="12"/>
      <c r="D293" s="12"/>
      <c r="E293" s="12"/>
      <c r="F293" s="12"/>
      <c r="G293" s="12"/>
      <c r="H293" s="12"/>
      <c r="I293" s="12"/>
      <c r="J293" s="12"/>
      <c r="K293" s="12"/>
      <c r="L293" s="12"/>
      <c r="M293" s="12"/>
    </row>
    <row r="294" spans="1:13" x14ac:dyDescent="0.25">
      <c r="A294" s="12"/>
      <c r="B294" s="12"/>
      <c r="C294" s="12"/>
      <c r="D294" s="12"/>
      <c r="E294" s="12"/>
      <c r="F294" s="12"/>
      <c r="G294" s="12"/>
      <c r="H294" s="12"/>
      <c r="I294" s="12"/>
      <c r="J294" s="12"/>
      <c r="K294" s="12"/>
      <c r="L294" s="12"/>
      <c r="M294" s="12"/>
    </row>
    <row r="295" spans="1:13" x14ac:dyDescent="0.25">
      <c r="A295" s="12"/>
      <c r="B295" s="12"/>
      <c r="C295" s="12"/>
      <c r="D295" s="12"/>
      <c r="E295" s="12"/>
      <c r="F295" s="12"/>
      <c r="G295" s="12"/>
      <c r="H295" s="12"/>
      <c r="I295" s="12"/>
      <c r="J295" s="12"/>
      <c r="K295" s="12"/>
      <c r="L295" s="12"/>
      <c r="M295" s="12"/>
    </row>
    <row r="296" spans="1:13" x14ac:dyDescent="0.25">
      <c r="A296" s="12"/>
      <c r="B296" s="12"/>
      <c r="C296" s="12"/>
      <c r="D296" s="12"/>
      <c r="E296" s="12"/>
      <c r="F296" s="12"/>
      <c r="G296" s="12"/>
      <c r="H296" s="12"/>
      <c r="I296" s="12"/>
      <c r="J296" s="12"/>
      <c r="K296" s="12"/>
      <c r="L296" s="12"/>
      <c r="M296" s="12"/>
    </row>
    <row r="297" spans="1:13" hidden="1" x14ac:dyDescent="0.25">
      <c r="B297" s="12"/>
      <c r="C297" s="12"/>
      <c r="D297" s="12"/>
      <c r="E297" s="12"/>
      <c r="F297" s="12"/>
      <c r="H297" s="12"/>
      <c r="I297" s="12"/>
      <c r="J297" s="12"/>
      <c r="K297" s="12"/>
      <c r="L297" s="12"/>
    </row>
    <row r="298" spans="1:13" x14ac:dyDescent="0.25">
      <c r="B298" s="12"/>
      <c r="C298" s="12"/>
      <c r="D298" s="12"/>
      <c r="E298" s="12"/>
      <c r="F298" s="12"/>
      <c r="H298" s="12"/>
      <c r="I298" s="12"/>
      <c r="J298" s="12"/>
      <c r="K298" s="12"/>
    </row>
    <row r="299" spans="1:13" hidden="1" x14ac:dyDescent="0.25">
      <c r="B299" s="12"/>
      <c r="C299" s="12"/>
      <c r="D299" s="12"/>
      <c r="E299" s="12"/>
      <c r="F299" s="12"/>
      <c r="H299" s="12"/>
      <c r="I299" s="12"/>
      <c r="J299" s="12"/>
      <c r="K299" s="12"/>
    </row>
    <row r="300" spans="1:13" hidden="1" x14ac:dyDescent="0.25">
      <c r="H300" s="12"/>
      <c r="I300" s="12"/>
      <c r="J300" s="12"/>
      <c r="K300" s="12"/>
    </row>
    <row r="301" spans="1:13" hidden="1" x14ac:dyDescent="0.25">
      <c r="H301" s="12"/>
      <c r="I301" s="12"/>
      <c r="J301" s="12"/>
      <c r="K301" s="12"/>
    </row>
    <row r="302" spans="1:13" hidden="1" x14ac:dyDescent="0.25">
      <c r="H302" s="12"/>
      <c r="I302" s="12"/>
      <c r="J302" s="12"/>
      <c r="K302" s="12"/>
    </row>
    <row r="303" spans="1:13" hidden="1" x14ac:dyDescent="0.25">
      <c r="H303" s="12"/>
      <c r="I303" s="12"/>
      <c r="J303" s="12"/>
      <c r="K303" s="12"/>
    </row>
    <row r="304" spans="1:13" hidden="1" x14ac:dyDescent="0.25">
      <c r="H304" s="12"/>
      <c r="I304" s="12"/>
      <c r="J304" s="12"/>
      <c r="K304" s="12"/>
    </row>
    <row r="305" spans="8:11" hidden="1" x14ac:dyDescent="0.25">
      <c r="H305" s="12"/>
      <c r="I305" s="12"/>
      <c r="J305" s="12"/>
      <c r="K305" s="12"/>
    </row>
    <row r="306" spans="8:11" hidden="1" x14ac:dyDescent="0.25">
      <c r="H306" s="12"/>
      <c r="I306" s="12"/>
      <c r="J306" s="12"/>
      <c r="K306" s="12"/>
    </row>
    <row r="307" spans="8:11" hidden="1" x14ac:dyDescent="0.25">
      <c r="H307" s="12"/>
      <c r="I307" s="12"/>
      <c r="J307" s="12"/>
      <c r="K307" s="12"/>
    </row>
    <row r="308" spans="8:11" hidden="1" x14ac:dyDescent="0.25">
      <c r="H308" s="12"/>
      <c r="I308" s="12"/>
      <c r="J308" s="12"/>
      <c r="K308" s="12"/>
    </row>
    <row r="309" spans="8:11" hidden="1" x14ac:dyDescent="0.25">
      <c r="H309" s="12"/>
      <c r="I309" s="12"/>
      <c r="J309" s="12"/>
      <c r="K309" s="12"/>
    </row>
    <row r="310" spans="8:11" hidden="1" x14ac:dyDescent="0.25">
      <c r="H310" s="12"/>
      <c r="I310" s="12"/>
      <c r="J310" s="12"/>
      <c r="K310" s="12"/>
    </row>
    <row r="311" spans="8:11" hidden="1" x14ac:dyDescent="0.25">
      <c r="H311" s="12"/>
      <c r="I311" s="12"/>
      <c r="J311" s="12"/>
      <c r="K311" s="12"/>
    </row>
    <row r="312" spans="8:11" hidden="1" x14ac:dyDescent="0.25">
      <c r="H312" s="12"/>
      <c r="I312" s="12"/>
      <c r="J312" s="12"/>
      <c r="K312" s="12"/>
    </row>
    <row r="313" spans="8:11" hidden="1" x14ac:dyDescent="0.25">
      <c r="H313" s="12"/>
      <c r="I313" s="12"/>
      <c r="J313" s="12"/>
      <c r="K313" s="12"/>
    </row>
    <row r="314" spans="8:11" hidden="1" x14ac:dyDescent="0.25">
      <c r="H314" s="12"/>
      <c r="I314" s="12"/>
      <c r="J314" s="12"/>
      <c r="K314" s="12"/>
    </row>
    <row r="315" spans="8:11" hidden="1" x14ac:dyDescent="0.25">
      <c r="H315" s="12"/>
      <c r="I315" s="12"/>
      <c r="J315" s="12"/>
      <c r="K315" s="12"/>
    </row>
    <row r="316" spans="8:11" hidden="1" x14ac:dyDescent="0.25">
      <c r="H316" s="12"/>
      <c r="I316" s="12"/>
      <c r="J316" s="12"/>
      <c r="K316" s="12"/>
    </row>
    <row r="317" spans="8:11" hidden="1" x14ac:dyDescent="0.25">
      <c r="H317" s="12"/>
      <c r="I317" s="12"/>
      <c r="J317" s="12"/>
      <c r="K317" s="12"/>
    </row>
    <row r="318" spans="8:11" hidden="1" x14ac:dyDescent="0.25">
      <c r="H318" s="12"/>
      <c r="I318" s="12"/>
      <c r="J318" s="12"/>
      <c r="K318" s="12"/>
    </row>
    <row r="319" spans="8:11" hidden="1" x14ac:dyDescent="0.25">
      <c r="H319" s="12"/>
      <c r="I319" s="12"/>
      <c r="J319" s="12"/>
      <c r="K319" s="12"/>
    </row>
    <row r="320" spans="8:11" hidden="1" x14ac:dyDescent="0.25">
      <c r="H320" s="12"/>
      <c r="I320" s="12"/>
      <c r="J320" s="12"/>
      <c r="K320" s="12"/>
    </row>
    <row r="321" spans="8:11" hidden="1" x14ac:dyDescent="0.25">
      <c r="H321" s="12"/>
      <c r="I321" s="12"/>
      <c r="J321" s="12"/>
      <c r="K321" s="12"/>
    </row>
    <row r="322" spans="8:11" hidden="1" x14ac:dyDescent="0.25">
      <c r="H322" s="12"/>
      <c r="I322" s="12"/>
      <c r="J322" s="12"/>
      <c r="K322" s="12"/>
    </row>
    <row r="323" spans="8:11" hidden="1" x14ac:dyDescent="0.25">
      <c r="H323" s="12"/>
      <c r="I323" s="12"/>
      <c r="J323" s="12"/>
      <c r="K323" s="12"/>
    </row>
    <row r="324" spans="8:11" hidden="1" x14ac:dyDescent="0.25">
      <c r="H324" s="12"/>
      <c r="I324" s="12"/>
      <c r="J324" s="12"/>
      <c r="K324" s="12"/>
    </row>
    <row r="325" spans="8:11" hidden="1" x14ac:dyDescent="0.25">
      <c r="H325" s="12"/>
      <c r="I325" s="12"/>
      <c r="J325" s="12"/>
      <c r="K325" s="12"/>
    </row>
    <row r="326" spans="8:11" hidden="1" x14ac:dyDescent="0.25">
      <c r="H326" s="12"/>
      <c r="I326" s="12"/>
      <c r="J326" s="12"/>
      <c r="K326" s="12"/>
    </row>
    <row r="327" spans="8:11" hidden="1" x14ac:dyDescent="0.25">
      <c r="H327" s="12"/>
      <c r="I327" s="12"/>
      <c r="J327" s="12"/>
      <c r="K327" s="12"/>
    </row>
    <row r="328" spans="8:11" x14ac:dyDescent="0.25">
      <c r="H328" s="12"/>
      <c r="I328" s="12"/>
      <c r="J328" s="12"/>
      <c r="K328" s="12"/>
    </row>
    <row r="329" spans="8:11" x14ac:dyDescent="0.25">
      <c r="H329" s="12"/>
      <c r="I329" s="12"/>
      <c r="J329" s="12"/>
      <c r="K329" s="12"/>
    </row>
    <row r="330" spans="8:11" hidden="1" x14ac:dyDescent="0.25">
      <c r="H330" s="12"/>
      <c r="I330" s="12"/>
      <c r="J330" s="12"/>
      <c r="K330" s="12"/>
    </row>
    <row r="331" spans="8:11" hidden="1" x14ac:dyDescent="0.25">
      <c r="H331" s="12"/>
      <c r="I331" s="12"/>
      <c r="J331" s="12"/>
      <c r="K331" s="12"/>
    </row>
    <row r="332" spans="8:11" hidden="1" x14ac:dyDescent="0.25">
      <c r="H332" s="12"/>
      <c r="I332" s="12"/>
      <c r="J332" s="12"/>
      <c r="K332" s="12"/>
    </row>
    <row r="333" spans="8:11" x14ac:dyDescent="0.25">
      <c r="H333" s="12"/>
      <c r="I333" s="12"/>
      <c r="J333" s="12"/>
      <c r="K333" s="12"/>
    </row>
    <row r="334" spans="8:11" hidden="1" x14ac:dyDescent="0.25">
      <c r="H334" s="12"/>
      <c r="I334" s="12"/>
      <c r="J334" s="12"/>
      <c r="K334" s="12"/>
    </row>
    <row r="335" spans="8:11" hidden="1" x14ac:dyDescent="0.25">
      <c r="H335" s="12"/>
      <c r="I335" s="12"/>
      <c r="J335" s="12"/>
      <c r="K335" s="12"/>
    </row>
    <row r="336" spans="8:11" hidden="1" x14ac:dyDescent="0.25">
      <c r="H336" s="12"/>
      <c r="I336" s="12"/>
      <c r="J336" s="12"/>
      <c r="K336" s="12"/>
    </row>
    <row r="337" spans="8:11" hidden="1" x14ac:dyDescent="0.25">
      <c r="H337" s="12"/>
      <c r="I337" s="12"/>
      <c r="J337" s="12"/>
      <c r="K337" s="12"/>
    </row>
    <row r="338" spans="8:11" hidden="1" x14ac:dyDescent="0.25">
      <c r="H338" s="12"/>
      <c r="I338" s="12"/>
      <c r="J338" s="12"/>
      <c r="K338" s="12"/>
    </row>
    <row r="339" spans="8:11" hidden="1" x14ac:dyDescent="0.25">
      <c r="H339" s="12"/>
      <c r="I339" s="12"/>
      <c r="J339" s="12"/>
      <c r="K339" s="12"/>
    </row>
    <row r="340" spans="8:11" hidden="1" x14ac:dyDescent="0.25">
      <c r="H340" s="12"/>
      <c r="I340" s="12"/>
      <c r="J340" s="12"/>
      <c r="K340" s="12"/>
    </row>
    <row r="341" spans="8:11" hidden="1" x14ac:dyDescent="0.25">
      <c r="H341" s="12"/>
      <c r="I341" s="12"/>
      <c r="J341" s="12"/>
      <c r="K341" s="12"/>
    </row>
    <row r="342" spans="8:11" hidden="1" x14ac:dyDescent="0.25">
      <c r="H342" s="12"/>
      <c r="I342" s="12"/>
      <c r="J342" s="12"/>
      <c r="K342" s="12"/>
    </row>
    <row r="343" spans="8:11" hidden="1" x14ac:dyDescent="0.25">
      <c r="H343" s="12"/>
      <c r="I343" s="12"/>
      <c r="J343" s="12"/>
      <c r="K343" s="12"/>
    </row>
    <row r="344" spans="8:11" hidden="1" x14ac:dyDescent="0.25">
      <c r="H344" s="12"/>
      <c r="I344" s="12"/>
      <c r="J344" s="12"/>
      <c r="K344" s="12"/>
    </row>
  </sheetData>
  <autoFilter ref="H23:K215" xr:uid="{00000000-0001-0000-0200-000000000000}">
    <sortState xmlns:xlrd2="http://schemas.microsoft.com/office/spreadsheetml/2017/richdata2" ref="H24:K215">
      <sortCondition ref="H23:H215"/>
    </sortState>
  </autoFilter>
  <conditionalFormatting sqref="D4:E4">
    <cfRule type="cellIs" dxfId="5" priority="2" operator="notBetween">
      <formula>-1</formula>
      <formula>1</formula>
    </cfRule>
  </conditionalFormatting>
  <conditionalFormatting sqref="D15:E15">
    <cfRule type="cellIs" dxfId="4" priority="3" operator="notBetween">
      <formula>-1</formula>
      <formula>1</formula>
    </cfRule>
  </conditionalFormatting>
  <conditionalFormatting sqref="F6:F12 F17:F28">
    <cfRule type="cellIs" dxfId="3" priority="6" operator="lessThan">
      <formula>-1</formula>
    </cfRule>
  </conditionalFormatting>
  <conditionalFormatting sqref="I22">
    <cfRule type="cellIs" dxfId="2" priority="5" operator="notBetween">
      <formula>-1</formula>
      <formula>1</formula>
    </cfRule>
  </conditionalFormatting>
  <conditionalFormatting sqref="I4:J4">
    <cfRule type="cellIs" dxfId="1" priority="4" operator="notBetween">
      <formula>-1</formula>
      <formula>1</formula>
    </cfRule>
  </conditionalFormatting>
  <conditionalFormatting sqref="K24:K180">
    <cfRule type="cellIs" dxfId="0" priority="1"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A5ADBE86533F4BB33EF516192173CE" ma:contentTypeVersion="6" ma:contentTypeDescription="Create a new document." ma:contentTypeScope="" ma:versionID="3387201b7c6ca973dfdeaa0ecd76273d">
  <xsd:schema xmlns:xsd="http://www.w3.org/2001/XMLSchema" xmlns:xs="http://www.w3.org/2001/XMLSchema" xmlns:p="http://schemas.microsoft.com/office/2006/metadata/properties" xmlns:ns2="f0af8808-8843-444b-94c4-86c0ae1c93da" xmlns:ns3="a9c38585-5fcb-43a1-9e74-2a80ca4f53bb" targetNamespace="http://schemas.microsoft.com/office/2006/metadata/properties" ma:root="true" ma:fieldsID="06769fd6a661746fa206fe150991829e" ns2:_="" ns3:_="">
    <xsd:import namespace="f0af8808-8843-444b-94c4-86c0ae1c93da"/>
    <xsd:import namespace="a9c38585-5fcb-43a1-9e74-2a80ca4f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8808-8843-444b-94c4-86c0ae1c9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38585-5fcb-43a1-9e74-2a80ca4f53b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9C507D-A6D7-44C6-9321-1EF9E09427AF}">
  <ds:schemaRefs>
    <ds:schemaRef ds:uri="http://schemas.microsoft.com/sharepoint/v3/contenttype/forms"/>
  </ds:schemaRefs>
</ds:datastoreItem>
</file>

<file path=customXml/itemProps2.xml><?xml version="1.0" encoding="utf-8"?>
<ds:datastoreItem xmlns:ds="http://schemas.openxmlformats.org/officeDocument/2006/customXml" ds:itemID="{D70514A3-DFF9-4A2D-B16C-CA0D98F9BFAA}">
  <ds:schemaRefs>
    <ds:schemaRef ds:uri="http://purl.org/dc/elements/1.1/"/>
    <ds:schemaRef ds:uri="http://schemas.microsoft.com/office/2006/metadata/properties"/>
    <ds:schemaRef ds:uri="http://schemas.microsoft.com/office/2006/documentManagement/types"/>
    <ds:schemaRef ds:uri="http://www.w3.org/XML/1998/namespace"/>
    <ds:schemaRef ds:uri="f0af8808-8843-444b-94c4-86c0ae1c93da"/>
    <ds:schemaRef ds:uri="http://purl.org/dc/dcmitype/"/>
    <ds:schemaRef ds:uri="http://schemas.microsoft.com/office/infopath/2007/PartnerControls"/>
    <ds:schemaRef ds:uri="http://schemas.openxmlformats.org/package/2006/metadata/core-properties"/>
    <ds:schemaRef ds:uri="a9c38585-5fcb-43a1-9e74-2a80ca4f53bb"/>
    <ds:schemaRef ds:uri="http://purl.org/dc/terms/"/>
  </ds:schemaRefs>
</ds:datastoreItem>
</file>

<file path=customXml/itemProps3.xml><?xml version="1.0" encoding="utf-8"?>
<ds:datastoreItem xmlns:ds="http://schemas.openxmlformats.org/officeDocument/2006/customXml" ds:itemID="{DCA13E25-B34C-4318-95BB-D01819A74A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8808-8843-444b-94c4-86c0ae1c93da"/>
    <ds:schemaRef ds:uri="a9c38585-5fcb-43a1-9e74-2a80ca4f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Detalhamento fracionamento</vt:lpstr>
      <vt:lpstr>Resumo por unidade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Fernando Potyguar de Alencar Araújo</dc:creator>
  <cp:keywords/>
  <dc:description/>
  <cp:lastModifiedBy>Fernando Potyguar de Alencar Araújo</cp:lastModifiedBy>
  <cp:revision/>
  <dcterms:created xsi:type="dcterms:W3CDTF">2015-06-05T18:19:34Z</dcterms:created>
  <dcterms:modified xsi:type="dcterms:W3CDTF">2025-04-30T15:04:41Z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0x010100A1A5ADBE86533F4BB33EF516192173CE</vt:lpwstr>
  </property>
</Properties>
</file>