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EstaPastaDeTrabalho" defaultThemeVersion="166925"/>
  <mc:AlternateContent xmlns:mc="http://schemas.openxmlformats.org/markup-compatibility/2006">
    <mc:Choice Requires="x15">
      <x15ac:absPath xmlns:x15ac="http://schemas.microsoft.com/office/spreadsheetml/2010/11/ac" url="Q:\DG\GDG\_Compartilhado\Processo de aquisições\2024\"/>
    </mc:Choice>
  </mc:AlternateContent>
  <xr:revisionPtr revIDLastSave="0" documentId="8_{B7CDAE1C-98D5-4B51-8B9D-46EE4B90B835}" xr6:coauthVersionLast="47" xr6:coauthVersionMax="47" xr10:uidLastSave="{00000000-0000-0000-0000-000000000000}"/>
  <bookViews>
    <workbookView xWindow="-120" yWindow="-120" windowWidth="29040" windowHeight="15840" xr2:uid="{00000000-000D-0000-FFFF-FFFF00000000}"/>
  </bookViews>
  <sheets>
    <sheet name="PCA" sheetId="4" r:id="rId1"/>
    <sheet name="Outras ações discricionárias" sheetId="6" r:id="rId2"/>
    <sheet name="Resumo por unidade" sheetId="5" r:id="rId3"/>
  </sheets>
  <definedNames>
    <definedName name="_xlnm._FilterDatabase" localSheetId="1" hidden="1">'Outras ações discricionárias'!$B$6:$S$23</definedName>
    <definedName name="_xlnm._FilterDatabase" localSheetId="0" hidden="1">PCA!$B$6:$T$220</definedName>
    <definedName name="_xlnm._FilterDatabase" localSheetId="2" hidden="1">'Resumo por unidade'!$H$23:$K$144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5" i="4" l="1"/>
  <c r="I64" i="4"/>
  <c r="I173" i="4"/>
  <c r="I160" i="4"/>
  <c r="I77" i="4"/>
  <c r="I220" i="4"/>
  <c r="I40" i="4"/>
  <c r="D57" i="5"/>
  <c r="D56" i="5"/>
  <c r="D55" i="5"/>
  <c r="D54" i="5"/>
  <c r="D51" i="5"/>
  <c r="D50" i="5"/>
  <c r="D49" i="5"/>
  <c r="D48" i="5"/>
  <c r="D47" i="5"/>
  <c r="D46" i="5"/>
  <c r="D45" i="5"/>
  <c r="D44" i="5"/>
  <c r="D43" i="5"/>
  <c r="D41" i="5"/>
  <c r="D37" i="5"/>
  <c r="D36" i="5"/>
  <c r="D29" i="5"/>
  <c r="D28" i="5"/>
  <c r="D26" i="5"/>
  <c r="D25" i="5"/>
  <c r="D24" i="5"/>
  <c r="D23" i="5"/>
  <c r="D19" i="5"/>
  <c r="D13" i="5"/>
  <c r="D12" i="5"/>
  <c r="D11" i="5"/>
  <c r="D10" i="5"/>
  <c r="D6" i="5"/>
  <c r="I18" i="4"/>
  <c r="I219" i="4"/>
  <c r="I218" i="4"/>
  <c r="I197" i="4"/>
  <c r="I188" i="4"/>
  <c r="I126" i="4"/>
  <c r="I124" i="4"/>
  <c r="I120" i="4"/>
  <c r="I106" i="4"/>
  <c r="I103" i="4"/>
  <c r="I83" i="4"/>
  <c r="I164" i="4"/>
  <c r="I31" i="4"/>
  <c r="I23" i="4"/>
  <c r="I67" i="4"/>
  <c r="I66" i="4"/>
  <c r="I121" i="4"/>
  <c r="I85" i="4"/>
  <c r="I82" i="4"/>
  <c r="I81" i="4"/>
  <c r="I217" i="4"/>
  <c r="I38" i="5"/>
  <c r="K38" i="5" s="1"/>
  <c r="I49" i="4"/>
  <c r="I97" i="5"/>
  <c r="K97" i="5" s="1"/>
  <c r="I26" i="4"/>
  <c r="I62" i="4"/>
  <c r="I42" i="5"/>
  <c r="K42" i="5" s="1"/>
  <c r="I200" i="4"/>
  <c r="I191" i="4"/>
  <c r="I199" i="4"/>
  <c r="E39" i="5" l="1"/>
  <c r="E43" i="5"/>
  <c r="E22" i="5"/>
  <c r="E20" i="5"/>
  <c r="J12" i="5"/>
  <c r="J10" i="5"/>
  <c r="I39" i="4"/>
  <c r="I38" i="4"/>
  <c r="I169" i="4" l="1"/>
  <c r="I208" i="4"/>
  <c r="I52" i="4"/>
  <c r="I33" i="4"/>
  <c r="I115" i="4" l="1"/>
  <c r="I192" i="4"/>
  <c r="I25" i="4"/>
  <c r="I47" i="4"/>
  <c r="I76" i="4" l="1"/>
  <c r="I39" i="5"/>
  <c r="K39" i="5" s="1"/>
  <c r="I204" i="4" l="1"/>
  <c r="I198" i="4"/>
  <c r="I189" i="4"/>
  <c r="D39" i="5" s="1"/>
  <c r="I134" i="4"/>
  <c r="I117" i="4"/>
  <c r="I109" i="4"/>
  <c r="I84" i="4"/>
  <c r="I80" i="4"/>
  <c r="I43" i="4" l="1"/>
  <c r="I99" i="4"/>
  <c r="I34" i="4" l="1"/>
  <c r="I81" i="5"/>
  <c r="K81" i="5" s="1"/>
  <c r="I202" i="4" l="1"/>
  <c r="I48" i="5" l="1"/>
  <c r="K48" i="5" s="1"/>
  <c r="I140" i="4"/>
  <c r="I27" i="5" l="1"/>
  <c r="K27" i="5" s="1"/>
  <c r="I138" i="5"/>
  <c r="K138" i="5" s="1"/>
  <c r="I22" i="4"/>
  <c r="I24" i="4"/>
  <c r="D35" i="5" s="1"/>
  <c r="E44" i="5"/>
  <c r="E34" i="5"/>
  <c r="J13" i="5"/>
  <c r="E23" i="5" s="1"/>
  <c r="J8" i="5"/>
  <c r="E18" i="5" s="1"/>
  <c r="E12" i="5" l="1"/>
  <c r="I32" i="5" l="1"/>
  <c r="K32" i="5" s="1"/>
  <c r="I8" i="4"/>
  <c r="I37" i="4"/>
  <c r="I30" i="4"/>
  <c r="I40" i="5"/>
  <c r="K40" i="5" s="1"/>
  <c r="I142" i="5"/>
  <c r="K142" i="5" s="1"/>
  <c r="I141" i="5"/>
  <c r="K141" i="5" s="1"/>
  <c r="I45" i="5"/>
  <c r="K45" i="5" s="1"/>
  <c r="I55" i="5"/>
  <c r="K55" i="5" s="1"/>
  <c r="I57" i="5"/>
  <c r="K57" i="5" s="1"/>
  <c r="I16" i="4"/>
  <c r="I98" i="5" s="1"/>
  <c r="K98" i="5" s="1"/>
  <c r="I15" i="4"/>
  <c r="I33" i="5"/>
  <c r="K33" i="5" s="1"/>
  <c r="I25" i="5"/>
  <c r="K25" i="5" s="1"/>
  <c r="E38" i="5"/>
  <c r="E7" i="5"/>
  <c r="E8" i="5"/>
  <c r="I29" i="5"/>
  <c r="K29" i="5" s="1"/>
  <c r="I123" i="4"/>
  <c r="I14" i="6"/>
  <c r="I30" i="5"/>
  <c r="K30" i="5" s="1"/>
  <c r="I53" i="5"/>
  <c r="K53" i="5" s="1"/>
  <c r="I26" i="5"/>
  <c r="K26" i="5" s="1"/>
  <c r="I140" i="5"/>
  <c r="K140" i="5" s="1"/>
  <c r="F19" i="5"/>
  <c r="F23" i="5"/>
  <c r="F24" i="5"/>
  <c r="F25" i="5"/>
  <c r="F26" i="5"/>
  <c r="F28" i="5"/>
  <c r="F29" i="5"/>
  <c r="F36" i="5"/>
  <c r="F37" i="5"/>
  <c r="F39" i="5"/>
  <c r="F41" i="5"/>
  <c r="F44" i="5"/>
  <c r="F45" i="5"/>
  <c r="F46" i="5"/>
  <c r="F47" i="5"/>
  <c r="F48" i="5"/>
  <c r="F49" i="5"/>
  <c r="F50" i="5"/>
  <c r="F51" i="5"/>
  <c r="F54" i="5"/>
  <c r="F55" i="5"/>
  <c r="F56" i="5"/>
  <c r="F57" i="5"/>
  <c r="I129" i="5"/>
  <c r="K129" i="5" s="1"/>
  <c r="I133" i="5"/>
  <c r="K133" i="5" s="1"/>
  <c r="I75" i="5"/>
  <c r="K75" i="5" s="1"/>
  <c r="I70" i="4"/>
  <c r="I186" i="4"/>
  <c r="D40" i="5" l="1"/>
  <c r="F40" i="5" s="1"/>
  <c r="D21" i="5"/>
  <c r="F21" i="5" s="1"/>
  <c r="D53" i="5"/>
  <c r="F53" i="5" s="1"/>
  <c r="I143" i="5"/>
  <c r="K143" i="5" s="1"/>
  <c r="F43" i="5"/>
  <c r="I35" i="5"/>
  <c r="K35" i="5" s="1"/>
  <c r="I133" i="4"/>
  <c r="I132" i="4"/>
  <c r="I131" i="4"/>
  <c r="I102" i="4"/>
  <c r="I24" i="5"/>
  <c r="K24" i="5" s="1"/>
  <c r="D22" i="5" l="1"/>
  <c r="F22" i="5" s="1"/>
  <c r="D42" i="5"/>
  <c r="F42" i="5" s="1"/>
  <c r="D20" i="5"/>
  <c r="F20" i="5" s="1"/>
  <c r="D38" i="5"/>
  <c r="F38" i="5" s="1"/>
  <c r="D8" i="5"/>
  <c r="I128" i="5"/>
  <c r="K128" i="5" s="1"/>
  <c r="I96" i="5" l="1"/>
  <c r="K96" i="5" s="1"/>
  <c r="I99" i="5"/>
  <c r="K99" i="5" s="1"/>
  <c r="I100" i="5"/>
  <c r="K100" i="5" s="1"/>
  <c r="I101" i="5"/>
  <c r="K101" i="5" s="1"/>
  <c r="I104" i="5"/>
  <c r="K104" i="5" s="1"/>
  <c r="I105" i="5"/>
  <c r="K105" i="5" s="1"/>
  <c r="I106" i="5"/>
  <c r="K106" i="5" s="1"/>
  <c r="I107" i="5"/>
  <c r="K107" i="5" s="1"/>
  <c r="I108" i="5"/>
  <c r="K108" i="5" s="1"/>
  <c r="I37" i="5"/>
  <c r="K37" i="5" s="1"/>
  <c r="I41" i="5"/>
  <c r="K41" i="5" s="1"/>
  <c r="I43" i="5"/>
  <c r="K43" i="5" s="1"/>
  <c r="I44" i="5"/>
  <c r="K44" i="5" s="1"/>
  <c r="I46" i="5"/>
  <c r="K46" i="5" s="1"/>
  <c r="I47" i="5"/>
  <c r="K47" i="5" s="1"/>
  <c r="I49" i="5"/>
  <c r="K49" i="5" s="1"/>
  <c r="I50" i="5"/>
  <c r="K50" i="5" s="1"/>
  <c r="I52" i="5"/>
  <c r="K52" i="5" s="1"/>
  <c r="I54" i="5"/>
  <c r="K54" i="5" s="1"/>
  <c r="I59" i="5"/>
  <c r="K59" i="5" s="1"/>
  <c r="I61" i="5"/>
  <c r="K61" i="5" s="1"/>
  <c r="I62" i="5"/>
  <c r="K62" i="5" s="1"/>
  <c r="I63" i="5"/>
  <c r="K63" i="5" s="1"/>
  <c r="I66" i="5"/>
  <c r="K66" i="5" s="1"/>
  <c r="I67" i="5"/>
  <c r="K67" i="5" s="1"/>
  <c r="I68" i="5"/>
  <c r="K68" i="5" s="1"/>
  <c r="I69" i="5"/>
  <c r="K69" i="5" s="1"/>
  <c r="I70" i="5"/>
  <c r="K70" i="5" s="1"/>
  <c r="I71" i="5"/>
  <c r="K71" i="5" s="1"/>
  <c r="I72" i="5"/>
  <c r="K72" i="5" s="1"/>
  <c r="I73" i="5"/>
  <c r="K73" i="5" s="1"/>
  <c r="I74" i="5"/>
  <c r="K74" i="5" s="1"/>
  <c r="I76" i="5"/>
  <c r="K76" i="5" s="1"/>
  <c r="I78" i="5"/>
  <c r="K78" i="5" s="1"/>
  <c r="I79" i="5"/>
  <c r="K79" i="5" s="1"/>
  <c r="I124" i="5"/>
  <c r="K124" i="5" s="1"/>
  <c r="I125" i="5"/>
  <c r="K125" i="5" s="1"/>
  <c r="I93" i="5"/>
  <c r="K93" i="5" s="1"/>
  <c r="I94" i="5"/>
  <c r="K94" i="5" s="1"/>
  <c r="I109" i="5"/>
  <c r="K109" i="5" s="1"/>
  <c r="I110" i="5"/>
  <c r="K110" i="5" s="1"/>
  <c r="I111" i="5"/>
  <c r="K111" i="5" s="1"/>
  <c r="I112" i="5"/>
  <c r="K112" i="5" s="1"/>
  <c r="I113" i="5"/>
  <c r="K113" i="5" s="1"/>
  <c r="I114" i="5"/>
  <c r="K114" i="5" s="1"/>
  <c r="I115" i="5"/>
  <c r="K115" i="5" s="1"/>
  <c r="I116" i="5"/>
  <c r="K116" i="5" s="1"/>
  <c r="I117" i="5"/>
  <c r="K117" i="5" s="1"/>
  <c r="I118" i="5"/>
  <c r="K118" i="5" s="1"/>
  <c r="I119" i="5"/>
  <c r="K119" i="5" s="1"/>
  <c r="I120" i="5"/>
  <c r="K120" i="5" s="1"/>
  <c r="I121" i="5"/>
  <c r="K121" i="5" s="1"/>
  <c r="I122" i="5"/>
  <c r="K122" i="5" s="1"/>
  <c r="I123" i="5"/>
  <c r="I127" i="5"/>
  <c r="K127" i="5" s="1"/>
  <c r="I56" i="5" l="1"/>
  <c r="K56" i="5" s="1"/>
  <c r="I91" i="5"/>
  <c r="K91" i="5" s="1"/>
  <c r="I74" i="4"/>
  <c r="I28" i="5" s="1"/>
  <c r="I177" i="4"/>
  <c r="I172" i="4"/>
  <c r="I184" i="4"/>
  <c r="F11" i="5"/>
  <c r="I139" i="5"/>
  <c r="K139" i="5" s="1"/>
  <c r="I137" i="5"/>
  <c r="K137" i="5" s="1"/>
  <c r="I135" i="5"/>
  <c r="K135" i="5" s="1"/>
  <c r="I134" i="5"/>
  <c r="K134" i="5" s="1"/>
  <c r="I132" i="5"/>
  <c r="K132" i="5" s="1"/>
  <c r="I131" i="5"/>
  <c r="K131" i="5" s="1"/>
  <c r="I130" i="5"/>
  <c r="K130" i="5" s="1"/>
  <c r="K123" i="5"/>
  <c r="I89" i="5"/>
  <c r="K89" i="5" s="1"/>
  <c r="I88" i="5"/>
  <c r="K88" i="5" s="1"/>
  <c r="I87" i="5"/>
  <c r="K87" i="5" s="1"/>
  <c r="I86" i="5"/>
  <c r="K86" i="5" s="1"/>
  <c r="I85" i="5"/>
  <c r="K85" i="5" s="1"/>
  <c r="I84" i="5"/>
  <c r="K84" i="5" s="1"/>
  <c r="I83" i="5"/>
  <c r="K83" i="5" s="1"/>
  <c r="I82" i="5"/>
  <c r="K82" i="5" s="1"/>
  <c r="I80" i="5"/>
  <c r="K80" i="5" s="1"/>
  <c r="I34" i="5"/>
  <c r="K34" i="5" s="1"/>
  <c r="I31" i="5"/>
  <c r="K31" i="5" s="1"/>
  <c r="F10" i="5"/>
  <c r="F13" i="5"/>
  <c r="J18" i="5"/>
  <c r="I18" i="5"/>
  <c r="J7" i="5"/>
  <c r="I7" i="5"/>
  <c r="E6" i="5"/>
  <c r="I5" i="6"/>
  <c r="I183" i="4"/>
  <c r="I180" i="4"/>
  <c r="I69" i="4"/>
  <c r="I68" i="4"/>
  <c r="D7" i="5" l="1"/>
  <c r="D18" i="5"/>
  <c r="F18" i="5" s="1"/>
  <c r="D34" i="5"/>
  <c r="F34" i="5" s="1"/>
  <c r="D52" i="5"/>
  <c r="F52" i="5" s="1"/>
  <c r="D9" i="5"/>
  <c r="D27" i="5"/>
  <c r="F27" i="5" s="1"/>
  <c r="F35" i="5"/>
  <c r="I136" i="5"/>
  <c r="K136" i="5" s="1"/>
  <c r="I36" i="5"/>
  <c r="K36" i="5" s="1"/>
  <c r="I60" i="5"/>
  <c r="K60" i="5" s="1"/>
  <c r="I51" i="5"/>
  <c r="K51" i="5" s="1"/>
  <c r="I126" i="5"/>
  <c r="K126" i="5" s="1"/>
  <c r="I64" i="5"/>
  <c r="K64" i="5" s="1"/>
  <c r="I102" i="5"/>
  <c r="K102" i="5" s="1"/>
  <c r="I65" i="5"/>
  <c r="K65" i="5" s="1"/>
  <c r="I90" i="5"/>
  <c r="K90" i="5" s="1"/>
  <c r="I77" i="5"/>
  <c r="K77" i="5" s="1"/>
  <c r="I103" i="5"/>
  <c r="K103" i="5" s="1"/>
  <c r="I92" i="5"/>
  <c r="K92" i="5" s="1"/>
  <c r="I95" i="5"/>
  <c r="K95" i="5" s="1"/>
  <c r="I58" i="5"/>
  <c r="K58" i="5" s="1"/>
  <c r="E14" i="5"/>
  <c r="J4" i="5" s="1"/>
  <c r="J6" i="5"/>
  <c r="E32" i="5" s="1"/>
  <c r="K28" i="5"/>
  <c r="F7" i="5"/>
  <c r="F9" i="5"/>
  <c r="F12" i="5"/>
  <c r="F8" i="5"/>
  <c r="I5" i="4"/>
  <c r="I6" i="5"/>
  <c r="F6" i="5"/>
  <c r="D32" i="5" l="1"/>
  <c r="D16" i="5"/>
  <c r="I22" i="5"/>
  <c r="E16" i="5"/>
  <c r="E4" i="5"/>
  <c r="I4" i="5"/>
  <c r="D14" i="5"/>
  <c r="D4" i="5" s="1"/>
  <c r="F14" i="5" l="1"/>
</calcChain>
</file>

<file path=xl/sharedStrings.xml><?xml version="1.0" encoding="utf-8"?>
<sst xmlns="http://schemas.openxmlformats.org/spreadsheetml/2006/main" count="3455" uniqueCount="934">
  <si>
    <t>CONSELHO NACIONAL DE JUSTIÇA</t>
  </si>
  <si>
    <t>PLANO DE CONTRATAÇÕES ANUAL 2024</t>
  </si>
  <si>
    <t>Item PCA</t>
  </si>
  <si>
    <t>Ação orçamentária</t>
  </si>
  <si>
    <t>Plano Orçamentário</t>
  </si>
  <si>
    <t>Grupo de natureza de despesa</t>
  </si>
  <si>
    <t>Natureza de despesa detalhada</t>
  </si>
  <si>
    <t>Unidade</t>
  </si>
  <si>
    <t>Demanda</t>
  </si>
  <si>
    <t>Captação 2024</t>
  </si>
  <si>
    <t>Justificativa</t>
  </si>
  <si>
    <t>UGR</t>
  </si>
  <si>
    <t>Alinhamento Estratégico</t>
  </si>
  <si>
    <t>Nova demanda?</t>
  </si>
  <si>
    <t>Gasto continuado?</t>
  </si>
  <si>
    <t>Tipo de contratação</t>
  </si>
  <si>
    <t>Processo SEI</t>
  </si>
  <si>
    <t>Nº do contrato, ata de registro de preço ou nota de empenho</t>
  </si>
  <si>
    <t>Data de referência</t>
  </si>
  <si>
    <t>Complexidade da contratação</t>
  </si>
  <si>
    <t>Classificação CATMAT / CATSER</t>
  </si>
  <si>
    <t>21BH</t>
  </si>
  <si>
    <t>0001</t>
  </si>
  <si>
    <t>3.3.90.39.47</t>
  </si>
  <si>
    <t>SAD</t>
  </si>
  <si>
    <t>Prestação de serviços postais, telemáticos e adicionais e entrega de encomendas na modalidade nacional e internacional; e contração do serviço e-carta para captação eletrônica de dados para geração de objetos postais para entrega física.</t>
  </si>
  <si>
    <t xml:space="preserve">Viabilizar a prestação de serviços destinados ao envio de comunicações processuais, correspondências, documentos ofíciais e divulgação de informações institucionais. </t>
  </si>
  <si>
    <t>COPF</t>
  </si>
  <si>
    <t>VI</t>
  </si>
  <si>
    <t>Não</t>
  </si>
  <si>
    <t>Sim</t>
  </si>
  <si>
    <t>Prorrogação</t>
  </si>
  <si>
    <t>06859/2020</t>
  </si>
  <si>
    <t>Contrato n. 27/2021</t>
  </si>
  <si>
    <t>Baixa</t>
  </si>
  <si>
    <t>CATSER - 4286</t>
  </si>
  <si>
    <t>3.3.90.40.00</t>
  </si>
  <si>
    <t xml:space="preserve">TED STF </t>
  </si>
  <si>
    <t xml:space="preserve">Ressarcimento das despesas realizadas pelo STF em favor do CNJ </t>
  </si>
  <si>
    <t>040100 - SAD</t>
  </si>
  <si>
    <t>XI</t>
  </si>
  <si>
    <t>10149/2021</t>
  </si>
  <si>
    <t>TED n. 008/2020</t>
  </si>
  <si>
    <t>Alta</t>
  </si>
  <si>
    <t>CATSER - 5908</t>
  </si>
  <si>
    <t>3.3.90.39.43</t>
  </si>
  <si>
    <t>Energia elétrica</t>
  </si>
  <si>
    <t>Serviço essencial a ser executado de forma contínua e destinado a atender necessidade permanente do CNJ</t>
  </si>
  <si>
    <t xml:space="preserve">040104 - SEEMP </t>
  </si>
  <si>
    <t>Somente execução</t>
  </si>
  <si>
    <t>11711/2019 ; 02702/2021 ; 01319/2021</t>
  </si>
  <si>
    <t>Contratos n. 52/2019 ; 11/2021 ; 09/2021</t>
  </si>
  <si>
    <t>04/07/2025 ; 01/10/2026 ; n/a</t>
  </si>
  <si>
    <t>CATSER - 4120</t>
  </si>
  <si>
    <t>3.3.90.39.44</t>
  </si>
  <si>
    <t>Água e esgoto</t>
  </si>
  <si>
    <t>11710/2019 ; 04409/2020</t>
  </si>
  <si>
    <t>Contratos n. 42/2019 ; 16/2020</t>
  </si>
  <si>
    <t>n/a</t>
  </si>
  <si>
    <t>CATSER - 22845</t>
  </si>
  <si>
    <t>3.3.90.37.04</t>
  </si>
  <si>
    <t>Manutenção Predial</t>
  </si>
  <si>
    <t>10739/2019</t>
  </si>
  <si>
    <t>Contrato n. 11/2020</t>
  </si>
  <si>
    <t>CATSER - 1627</t>
  </si>
  <si>
    <t>3.3.90.39.17</t>
  </si>
  <si>
    <t>Manutenção ar condicionado 514N</t>
  </si>
  <si>
    <t>01293/2023</t>
  </si>
  <si>
    <t>Contrato n. 16/2023</t>
  </si>
  <si>
    <t>Média</t>
  </si>
  <si>
    <t>CATSER - 2771</t>
  </si>
  <si>
    <t>3.3.90.39.16</t>
  </si>
  <si>
    <t>Manutenção elevadores 514N</t>
  </si>
  <si>
    <t>01001/2021</t>
  </si>
  <si>
    <t>Contrato n. 06/2021</t>
  </si>
  <si>
    <t>CATSER - 3557</t>
  </si>
  <si>
    <t>Item excluído</t>
  </si>
  <si>
    <t>3.3.90.37.01</t>
  </si>
  <si>
    <t>Prestação dos Serviços de Condução de Veículos</t>
  </si>
  <si>
    <t>Manter a operacionalidade dos serviços de transportes do CNJ</t>
  </si>
  <si>
    <t xml:space="preserve">040117 - SETRA </t>
  </si>
  <si>
    <t>12229/2023</t>
  </si>
  <si>
    <t>Contrato n. 38/2023</t>
  </si>
  <si>
    <t>CATSER - 15008</t>
  </si>
  <si>
    <t>3.3.90.30.01</t>
  </si>
  <si>
    <t>Sistema de gestão de frota-serviços de administração e gerenciamento compartilhado de frota para o fornecimento de combustíveis para veículos da frota</t>
  </si>
  <si>
    <t>03160/2021</t>
  </si>
  <si>
    <t>Contrato n. 17/2022</t>
  </si>
  <si>
    <t>CATSER - 25372</t>
  </si>
  <si>
    <t>3.3.90.39.19</t>
  </si>
  <si>
    <t>Sistema de gestão de frota-serviços de administração e gerenciamento compartilhado de frota para a manutenção preventiva e corretiva de veículos e equipamentos e higienização de veículos</t>
  </si>
  <si>
    <t>05433/2020</t>
  </si>
  <si>
    <t>Contrato n. 07/2021</t>
  </si>
  <si>
    <t>CATSER - 25518</t>
  </si>
  <si>
    <t>Contratação de serviços de manutenção de veículos para a frota do Conselho Nacional de Justiça-CNJ.</t>
  </si>
  <si>
    <t>Licitação</t>
  </si>
  <si>
    <t>03639/2023</t>
  </si>
  <si>
    <t>3.3.90.39.69</t>
  </si>
  <si>
    <t>Seguro da frota de veículos</t>
  </si>
  <si>
    <t>10283/2022</t>
  </si>
  <si>
    <t>Contrato n. 05/2023</t>
  </si>
  <si>
    <t>CATSER - 22764</t>
  </si>
  <si>
    <t>03702/2020</t>
  </si>
  <si>
    <t>Contrato n. 09/2020</t>
  </si>
  <si>
    <t>3.3.90.39.77</t>
  </si>
  <si>
    <t>Rastreamento de veículos</t>
  </si>
  <si>
    <t>SIM</t>
  </si>
  <si>
    <t>03732/2023</t>
  </si>
  <si>
    <t>Contrato n. 30/2023</t>
  </si>
  <si>
    <t>CATSER - 25410</t>
  </si>
  <si>
    <t>Instalação, Manutenção e Remanejamento de peças de Comunicação Visual das edificações do CNJ</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</si>
  <si>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</si>
  <si>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Não iniciado</t>
  </si>
  <si>
    <t>CATSER - 14249</t>
  </si>
  <si>
    <t>3.3.90.30.24</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</si>
  <si>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</si>
  <si>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</si>
  <si>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09727/2022</t>
  </si>
  <si>
    <t>ARP 03/2023</t>
  </si>
  <si>
    <t>CATSER - 15814</t>
  </si>
  <si>
    <t>4.4.90.52.51</t>
  </si>
  <si>
    <t>10155/2023</t>
  </si>
  <si>
    <t>3.3.90.30.22</t>
  </si>
  <si>
    <t>Aquisição de capachos personalizados para as unidades do CNJ.</t>
  </si>
  <si>
    <t>Preservar as instalações prediais do CNJ para garantir o seu funcionamento adequado.</t>
  </si>
  <si>
    <t>Contratação direta</t>
  </si>
  <si>
    <t>09730/2022</t>
  </si>
  <si>
    <t>CATMAT - 745</t>
  </si>
  <si>
    <t>4.4.90.52.42</t>
  </si>
  <si>
    <t>3.3.90.30.07</t>
  </si>
  <si>
    <t>Fornecimento de água mineral, sem gás e com gás</t>
  </si>
  <si>
    <t>Prover todo o Conselho Nacional de Justiça com água para consumo e ainda fornecer água em garrafas de 500 ml para autoridades que trabalham no órgão.</t>
  </si>
  <si>
    <t>CATMAT - 19555</t>
  </si>
  <si>
    <t>11910/2023</t>
  </si>
  <si>
    <t>Fornecimento de frutas e gêneros alimentícios</t>
  </si>
  <si>
    <t>atender a demandas de Gêneros Alimentícios para distribuição de lanches nos dias de Sessão Plenária aos Conselheiros do Conselho Nacional de Justiça (CNJ).</t>
  </si>
  <si>
    <t>01186/2023</t>
  </si>
  <si>
    <t>Contratos n. 09/2023 ; 10/2023 ; 11/2023 ; 12/2023 ; 13/2023 ; 14/2023 ; 15/2023</t>
  </si>
  <si>
    <t>CATMAT - GRUPO 89</t>
  </si>
  <si>
    <t>Telefonista</t>
  </si>
  <si>
    <t>Atender as demandas para atendimento com o público externo, principalmente com projetos e campanhas do CNJ</t>
  </si>
  <si>
    <t>11489/2019</t>
  </si>
  <si>
    <t>Contrato n. 07/2020</t>
  </si>
  <si>
    <t>CATSER - 5380</t>
  </si>
  <si>
    <t>3.3.90.37.02</t>
  </si>
  <si>
    <t>Limpeza e manutenção</t>
  </si>
  <si>
    <t>Atender a limpeza, higienização e conservação de bens móveis e imóveis do CNJ</t>
  </si>
  <si>
    <t>12839/2019</t>
  </si>
  <si>
    <t>Contrato n. 13/2020</t>
  </si>
  <si>
    <t>CATSER - 23329</t>
  </si>
  <si>
    <t>3.3.90.39.78</t>
  </si>
  <si>
    <t>Serviços de dedetização</t>
  </si>
  <si>
    <t>Atender a emanda de serviços de controles de vetores e pragas urbanas</t>
  </si>
  <si>
    <t>02565/2023</t>
  </si>
  <si>
    <t>Contrato n. 33/2023</t>
  </si>
  <si>
    <t>CATSER - 3417</t>
  </si>
  <si>
    <t>3.3.90.39.46</t>
  </si>
  <si>
    <t>Serviços de lavanderia</t>
  </si>
  <si>
    <t>atender as demandas de serviços de lavanderia a fim de recolher, lavar e passar, forros, tolhas de mesa utilizados na Copa.</t>
  </si>
  <si>
    <t>CATSER - 19542</t>
  </si>
  <si>
    <t>Contratação Direta</t>
  </si>
  <si>
    <t>12436/2023</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</si>
  <si>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</si>
  <si>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</si>
  <si>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01768/2022</t>
  </si>
  <si>
    <t>Contrato n. 31/2022</t>
  </si>
  <si>
    <t>3.3.90.37.05</t>
  </si>
  <si>
    <t>Prestação de serviço de apoio na área de copeiragem</t>
  </si>
  <si>
    <t>atender as demandas de prestação de serviço de copeiragem, demandado diariamente e na realização de reuniões e eventos no âmbito do Conselho Nacional de Justiça, com entrega de água e café, bem como preparação de lanches para os conselheiros em dias de Sessão Plenária.</t>
  </si>
  <si>
    <t>05897/2022</t>
  </si>
  <si>
    <t>Contrato n. 37/2022</t>
  </si>
  <si>
    <t>3.3.90.40.14</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</si>
  <si>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</si>
  <si>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</si>
  <si>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04823/2020</t>
  </si>
  <si>
    <t>Contrato n. 18/2020</t>
  </si>
  <si>
    <t>CATSER - 18139</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</si>
  <si>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</si>
  <si>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</si>
  <si>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03848/2021</t>
  </si>
  <si>
    <t>Contratos n. 28/2021 ; 29/2021</t>
  </si>
  <si>
    <t>CATSER - 26140</t>
  </si>
  <si>
    <t>Prestação de serviço de apoio na área de secretariado</t>
  </si>
  <si>
    <t>A necessidade consiste em assegurar a prestação de serviço de apoio administrativo na área de secretariado. A contratação visa o atendimento às unidades administrativas do Conselho Nacional de Justiça, com vistas à execução de atribuições rotineiras, próprias da atividade de secretariado, não contempladas no Manual de Atribuições dos Cargos do órgão.</t>
  </si>
  <si>
    <t>06741/2021</t>
  </si>
  <si>
    <t>Contrato n. 02/2022</t>
  </si>
  <si>
    <t>Prestação de serviços de estocagem e carregamento de bens</t>
  </si>
  <si>
    <t>Atender as Unidades com pessoal de apoio administrativo para o desenvolvimento das atividades demandadas pelo CNJ, notadamente carregamento e estocagem de bens móveis. Valor acréscido de 8% sobre o valor da última repactuação (doc SEI 1508792), pois ter-se-a nova repactuação no começo do ano vindouro.</t>
  </si>
  <si>
    <t>04338/2021</t>
  </si>
  <si>
    <t>Contrato n. 23/2022</t>
  </si>
  <si>
    <t>3.3.90.39.84</t>
  </si>
  <si>
    <t xml:space="preserve">Almoxarifado Virtual </t>
  </si>
  <si>
    <t>Prover as unidades dos meios necessários para desenvolvimento das atividades administrativas do CNJ. O valor para o ano de 2023 (R$ 43.713,90) se mostra aquém das necessidades atuais do órgão, sendo sugerido acréscimo de 20%.</t>
  </si>
  <si>
    <t>04962/2020</t>
  </si>
  <si>
    <t>Contrato n. 22/2021</t>
  </si>
  <si>
    <t>CATSER - 27685</t>
  </si>
  <si>
    <t>3.3.90.39.10</t>
  </si>
  <si>
    <t>Aluguel - Edífcio Premium</t>
  </si>
  <si>
    <t>Trata-se do contrato de locação da sede do órgão, sendo que o valor de de aluguel para o ano de 2023 é de R$ 12.264.000,00, para 2024 calcula-se sendo acréscido de 8,7% (mesmo acréscimo de 2022 para 2023)</t>
  </si>
  <si>
    <t>05134/2019</t>
  </si>
  <si>
    <t>Contrato n. 21/2019</t>
  </si>
  <si>
    <t>CATSER - 4316</t>
  </si>
  <si>
    <t>Seguro Predial - Edífcio Premium</t>
  </si>
  <si>
    <t xml:space="preserve">Trata-se de obrigação contratual, referente a locação da sede do órgão, com valor de 2023 acréscido em 10% para 2024. </t>
  </si>
  <si>
    <t>CATSER - 906</t>
  </si>
  <si>
    <t>Aquisição de mobiliário</t>
  </si>
  <si>
    <t>Prover as unidades dos meios necessários para desenvolvimento das atividades administrativas do CNJ, notadamente referente a mobiliário. Tal valor incluí a reforma dos refeitórios, processo SEI 08184/2022, orçado em aproximadamente R$ 70.000,00 (doc SEI 1523967)</t>
  </si>
  <si>
    <t>11363/2023</t>
  </si>
  <si>
    <t xml:space="preserve">CATMAT - GRUPO 71 </t>
  </si>
  <si>
    <t>4.4.90.52.18</t>
  </si>
  <si>
    <t>Aquisição de livros</t>
  </si>
  <si>
    <t xml:space="preserve">A contratação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</si>
  <si>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CATMAT - 14509</t>
  </si>
  <si>
    <t>3.3.90.30.00</t>
  </si>
  <si>
    <t>Aquisição de materiais de expediente, descartáveis e de consumo.</t>
  </si>
  <si>
    <t>Aquisição de Materiais de Expediente e/ou Materiais de Consumo, que não possam ser incluídos no Almoxarifado Virtual.</t>
  </si>
  <si>
    <t>CATMAT - GRUPO 75</t>
  </si>
  <si>
    <t>4.4.90.51.12</t>
  </si>
  <si>
    <t>Aquisição de eletrodomésticos</t>
  </si>
  <si>
    <t>Aquisição de eletrodomésticos para atendimento das necessidades do órgão</t>
  </si>
  <si>
    <t>CATMAT - CLASSE 7310</t>
  </si>
  <si>
    <t>3.3.90.39.20</t>
  </si>
  <si>
    <t>Reforma de sofás</t>
  </si>
  <si>
    <t>O órgão possui diversos sofás deteriorados, sendo mais econômico a reforma em comparação com a aquisição de novos</t>
  </si>
  <si>
    <t>CATSER - 17574</t>
  </si>
  <si>
    <t>3.3.90.39.96</t>
  </si>
  <si>
    <t>Suprimento de Fundos</t>
  </si>
  <si>
    <t>Atender demandas excepcionais e urgentes - um suprimento no valor de R$ 6.000,00 a cada 60 meses</t>
  </si>
  <si>
    <t>Suprimento de fundos</t>
  </si>
  <si>
    <t>3.3.90.39.01</t>
  </si>
  <si>
    <t>Renovação de assinatura da Ferramenta Banco de Preços</t>
  </si>
  <si>
    <t>Ferramenta auxiliar de pesquisa de preços</t>
  </si>
  <si>
    <t>08313/2023</t>
  </si>
  <si>
    <t>Contrato n. 37/2023</t>
  </si>
  <si>
    <t>CATSER - 21350</t>
  </si>
  <si>
    <t>Atualização do Sistema de Segurança do CNJ e aluguel de Leitores Biométricos</t>
  </si>
  <si>
    <t>Manter a segurança das instalações e da população do CNJ.</t>
  </si>
  <si>
    <t>CATSER - 14826</t>
  </si>
  <si>
    <t>Manutenção de Pórticos Detectores de Metais</t>
  </si>
  <si>
    <t>CATSER - 15792</t>
  </si>
  <si>
    <t xml:space="preserve">Serviço de chaveiro com fornecimento de material </t>
  </si>
  <si>
    <t>11748/2023</t>
  </si>
  <si>
    <t>CATSER - 5436</t>
  </si>
  <si>
    <t>Manutenção de extintores e de mangueiras.</t>
  </si>
  <si>
    <t>CATSER - 3662</t>
  </si>
  <si>
    <t>4.4.90.52.10</t>
  </si>
  <si>
    <t>Compra de Insumos para os cursos - ANSPJ</t>
  </si>
  <si>
    <t>Aparelhar a Academia Nacional de Segurança do Poder Judiciário, fim realização de treinamento com baixo custo.</t>
  </si>
  <si>
    <t>3.3.90.36.28</t>
  </si>
  <si>
    <t>Cursos e Acordo de Cooperação ANP</t>
  </si>
  <si>
    <t xml:space="preserve">Promover a capacitação contínua </t>
  </si>
  <si>
    <t>CATSER - 17663</t>
  </si>
  <si>
    <t>3.3.90.37.07</t>
  </si>
  <si>
    <t>Prestação de serviços de brigadistas</t>
  </si>
  <si>
    <t>04639/2022</t>
  </si>
  <si>
    <t>Contrato n. 32/2022</t>
  </si>
  <si>
    <t>CATSER - 25550</t>
  </si>
  <si>
    <t>3.3.90.37.03</t>
  </si>
  <si>
    <t>Prestação de serviços de vigilância</t>
  </si>
  <si>
    <t>04490/2018</t>
  </si>
  <si>
    <t>Contrato n. 06/2019</t>
  </si>
  <si>
    <t>CATSER - 23507</t>
  </si>
  <si>
    <t>3.3.90.33.01</t>
  </si>
  <si>
    <t>Contrato atual. Prestação de serviço de agenciamento de viagens, compreendendo os serviços de emissão, remarcação e cancelamento de passagens aéreas nacionais e internacionais e de emissão de seguro de assistência em viagem internacional, para o CNJ.</t>
  </si>
  <si>
    <t>Permitir a execução dos projetos do CNJ, incluindo-se atividades do DMF, Corregedoria Nacional de Justiça, cursos, congressos, seminários e eventos diversos, trabalho das comissões, assim como oferecer estrutura para estadia de Conselheiros não residentes em Brasília a participarem de sessões plenários e conduzirem trabalhos em seus gabinetes e atender ao direito de cota mensal de retorno ao local de origem aos juízes auxiliares.</t>
  </si>
  <si>
    <t>040105 - SEPAD</t>
  </si>
  <si>
    <t>VII, IX e XI</t>
  </si>
  <si>
    <t>04942/2019</t>
  </si>
  <si>
    <t>Contrato n. 25/2019</t>
  </si>
  <si>
    <t>CATSER - 25828</t>
  </si>
  <si>
    <t>Contrato futuro. Prestação de serviço de agenciamento de viagens, compreendendo os serviços de emissão, remarcação e cancelamento de passagens aéreas nacionais e internacionais e de emissão de seguro de assistência em viagem internacional, para o CNJ.</t>
  </si>
  <si>
    <t>Necessidade de nova contratação motivada pelo atingimento do limite de 60 meses da contratação anterior. A contratação proposta visa o provimento de solução para o deslocamento à serviço, mediante transporte aéreo, dos membros, servidores, colaboradores e colaboradores eventuais do CNJ, dentro e fora do território nacional.</t>
  </si>
  <si>
    <t>00524/2024</t>
  </si>
  <si>
    <t>Prestação de serviços de apoio administrativo na área de cerimonial, por meio de postos de trabalho</t>
  </si>
  <si>
    <t>Prover tecnicamente a SCE de apoio administrativo na realização de eventos institucionais conduzidos e/ou apoiados pelo CNJ dentro e fora de Brasília-DF. Valor ajustado conforme Minuta da 1ª Apostila (Repactuação) - SEI 1413460e valor do IPCA indicado.</t>
  </si>
  <si>
    <t>VII</t>
  </si>
  <si>
    <t>01673/2019</t>
  </si>
  <si>
    <t>Contrato n. 36/2019</t>
  </si>
  <si>
    <t>07127/2023</t>
  </si>
  <si>
    <t>3.3.90.39.23</t>
  </si>
  <si>
    <t>Prestação de serviços de planejamento, organização e fornecimento de infraestrutura necessária à realização de eventos institucionais originários e/ou apoiados pelo CNJ</t>
  </si>
  <si>
    <t>Necessidade de contratação de empresa que disponha dos materiais e serviços indispensáveis ao planejamento operacional, organização, execução e acompanhamento dos eventos institucionais originários e/ou apoiados pelo CNJ. Há previsão de realização de diversos eventos que já fazem parte do Calendário  anual do CNJ, como Jornada Maria da Penha, Reuniões Preparatórias para o Encontro Nacional do Poder Judiciário, Prêmio Conciliar é Legal, Encontro Nacional do PJE, Fórum Nacional da Saúde, Encontro Nacional do Poder Judiciário, Fórum Fundiário, Semana Nacional da Conciliação, dentre outros, além de reuniões e encontros em todo o Brasil. Valor ajustado conforme IPCA indicado.</t>
  </si>
  <si>
    <t>09811/2023</t>
  </si>
  <si>
    <t>CATSER - 14591</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</si>
  <si>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</si>
  <si>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</si>
  <si>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05943/2022</t>
  </si>
  <si>
    <t>Contrato n. 06/2023</t>
  </si>
  <si>
    <t>CATSER - 12637</t>
  </si>
  <si>
    <t>Aquisição de rádios comunicadores digitais</t>
  </si>
  <si>
    <t xml:space="preserve">Integrar a comunicação de toda a equipe de organização dos eventos institucionais do CNJ, permitindo uma comunicação rápida e eficaz. Valor estimado para aquisição de 10 (dez) rádios comunicadores digitais, conforme orçamentos recebidos Processo 01212/2022 e 08924/2022) </t>
  </si>
  <si>
    <t>CATMAT - CLASSE 5820</t>
  </si>
  <si>
    <t>3.3.90.31.99</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</si>
  <si>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</si>
  <si>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 Valor estimado conforme média de pesquisas de preços de mercado (SEI 04243/2022). Valor ajustado conforme IPCA indicado.</t>
  </si>
  <si>
    <t>11063/2023</t>
  </si>
  <si>
    <t>CATMAT - 1453</t>
  </si>
  <si>
    <t>Prestação de serviços de almoço, coquetel e coffee break , sob demanda</t>
  </si>
  <si>
    <t>Necessidade de contratação de serviços de almoço, coquetel e coffee break, sob demanda, para atendimento de eventos institucionais originários e/ou apoiados pelo CNJ.</t>
  </si>
  <si>
    <t>CATSER - 3697</t>
  </si>
  <si>
    <t>3.3.90.36.07</t>
  </si>
  <si>
    <t>Programa de Estágio Supervisionado do CNJ</t>
  </si>
  <si>
    <t>Valor total para as despesas com 110 estagiários de nível superior. O valor da Bolsa de Estágio de Nível Superior é de R$ 976,00 e taxa de administração de estagiário de R$ 10,43 (valor atualmente pago no Cto 15/2020 + a previsão de reajuste de 5% de IPCA sobre a taxa administrativa) + auxílio transporte de R$ 11, 55 por dia (R$ 11,00 pagos atualmente, acrescido de 5% do IPCA), prevendo-se o valor total de R$ 1.744.859,60. Memória de cálculo conforme documento SEI n. xxxx. o cálculo está de acordo com a atualização pelo IPCA em relação ao PROPOSTO no último ano.</t>
  </si>
  <si>
    <t>040112 - SGP</t>
  </si>
  <si>
    <t>XVI</t>
  </si>
  <si>
    <t>00097/2019</t>
  </si>
  <si>
    <t>Contrato n. 15/2020</t>
  </si>
  <si>
    <t>CATSER - 15156</t>
  </si>
  <si>
    <t>Prestação de serviço de apoio administrativo na área de assistência materno-infantil (CEAME)</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</si>
  <si>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2024. Os valores salarais foram revisados de acordo com as novas CCTs e também foi realizado acréscimo de 5% nos valores de alguns salários (que não tem CCT ativa) e no valor dos uniformes. Ainda, foi calculado um acréscimo de 8%, referente à projeção do IPCA para 2022.</t>
  </si>
  <si>
    <t>08544/2019</t>
  </si>
  <si>
    <t>3.3.91.39.90</t>
  </si>
  <si>
    <t>Contrato de Distribuição de Publicidade Legal</t>
  </si>
  <si>
    <t>Cumprimento do §1º do artigo 54 da Lei 14.133/2021, que instituiu a obrigatoriedade de publicação do extrato dos editais de licitação em jornal diário de grande circulação</t>
  </si>
  <si>
    <t>040127 - CPC</t>
  </si>
  <si>
    <t>09879/2022</t>
  </si>
  <si>
    <t>Contrato n. 04/2023</t>
  </si>
  <si>
    <t>CATSER - 10049</t>
  </si>
  <si>
    <t>0002</t>
  </si>
  <si>
    <t>3.3.90.33.00</t>
  </si>
  <si>
    <t>CN</t>
  </si>
  <si>
    <t>Passagens</t>
  </si>
  <si>
    <t>Passagens concedidas à Corregedora, aos Juízes Auxiliares e aos servidores para afastamento da sede do serviço para realização de inspeção ou correição, bem como para o deslocamento da Corregedora e dos Juízes Auxiliares na sede do Conselho Nacional de Justiça (Instrução Normativa n. 10/2010, arts. 21 e 23)</t>
  </si>
  <si>
    <t>V</t>
  </si>
  <si>
    <t>0003</t>
  </si>
  <si>
    <t>3.3.90.40.11</t>
  </si>
  <si>
    <t>DTI</t>
  </si>
  <si>
    <t>Prestação presencial de serviços, sob demanda, de desenvolvimento e manutenção de software com práticas ágeis. Contrato 13/2021. SEI 05539/2021.</t>
  </si>
  <si>
    <t>Sustentação de Soluções de TIC do Portfólio. Ex: Pje, BNMP, DATAJUD, SEI, SGRH, entre outros</t>
  </si>
  <si>
    <t>IX</t>
  </si>
  <si>
    <t>05539/2021</t>
  </si>
  <si>
    <t>Contrato n. 13/2021</t>
  </si>
  <si>
    <t>CATSER - 30001</t>
  </si>
  <si>
    <t>3.3.90.40.17</t>
  </si>
  <si>
    <t>Contrato de Nuvem atual. Contrato 34/2022</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</si>
  <si>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</si>
  <si>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10958/2022</t>
  </si>
  <si>
    <t>Contrato n. 34/2022</t>
  </si>
  <si>
    <t>CATSER - 27081</t>
  </si>
  <si>
    <t>Futuro Contrato de Nuvem. Substituto do Contrato 34/2022.</t>
  </si>
  <si>
    <t>06309/2023</t>
  </si>
  <si>
    <t>Prestação de Serviço de sustentação do Ambiente Tecnológico do CNJ. Substituto do contrato 31/2020.</t>
  </si>
  <si>
    <t>Manter a infraestrutura tecnológica de TIC do CNJ. Responsável pelas aplicações, serviços de TIC, Bancos de Dados e infraestrutura de redes.</t>
  </si>
  <si>
    <t>07058/2021</t>
  </si>
  <si>
    <t>CATSER - 27014</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</si>
  <si>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</si>
  <si>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</si>
  <si>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02897/2019</t>
  </si>
  <si>
    <t>Contrato n. 03/2020</t>
  </si>
  <si>
    <t>CATSER - 27260</t>
  </si>
  <si>
    <t>3.3.90.40.21</t>
  </si>
  <si>
    <t>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t>
  </si>
  <si>
    <t>Suporte à Gestão e Governança. Aconselhamento e elaboração de estudos de TIC</t>
  </si>
  <si>
    <t>03480/2020</t>
  </si>
  <si>
    <t>Contrato n. 29/2020</t>
  </si>
  <si>
    <t>CATSER - 22918</t>
  </si>
  <si>
    <t>3.3.90.40.06</t>
  </si>
  <si>
    <t xml:space="preserve">Prestação do fornecimento de subscrição Elastic Cloud Enterprise Contrato 05/2020 - ASPER </t>
  </si>
  <si>
    <t>Datajud</t>
  </si>
  <si>
    <t>13700/2019</t>
  </si>
  <si>
    <t>Contrato n. 05/2020</t>
  </si>
  <si>
    <t>CATSER - 27073</t>
  </si>
  <si>
    <t>Serviços especializados "elastic cloud enterprise" - Contrato 43/2019</t>
  </si>
  <si>
    <t>O CNJ conseguirá ter maiores insumos para definições de políticas nacionais para o Judiciário</t>
  </si>
  <si>
    <t>06964/2019</t>
  </si>
  <si>
    <t>Contrato n. 43/2019</t>
  </si>
  <si>
    <t>Licenças Microsoft (Office 365, Windows e outros) - Contrato 32/2021 Substituto do Contrato 32/2021 - SEI 02875/2021</t>
  </si>
  <si>
    <t xml:space="preserve">Necessário para: manter todas as ferramentas de colaboração / manter as ferramentas de produtividade online / possibilitar a instalação do office nos computadores / Licenciar os pcs com Windows / Manter os portáteis seguros com o Security Mobile / Manter o licenciamento do servidores windows e sql server ativos / manter licenciamento de visio online / Permitir reuniões e eventos do CNJ. atender </t>
  </si>
  <si>
    <t>02875/2021</t>
  </si>
  <si>
    <t>Contrato n. 32/2021</t>
  </si>
  <si>
    <t>CATSER - 27502</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</si>
  <si>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</si>
  <si>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</si>
  <si>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</si>
  <si>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00445/2021</t>
  </si>
  <si>
    <t>Contrato n. 01/2022</t>
  </si>
  <si>
    <t>Prestação do serviço de manutenção, com suporte e atualização de versões para o Sistema Gerenciador de Banco de Dados (SGBD - Oracle) - Substituto do Contrato 01/2022</t>
  </si>
  <si>
    <t>Prestação de serviços de manutenção preventiva, corretiva e evolutiva da Sala Cofre (célula) com certificação ABNT NBR 15.247 (Grupo 1) - Substituto do Contrato 19/2018 - ACECO</t>
  </si>
  <si>
    <t>Garantir a manutenção da sala cofre e subsistemas da célula</t>
  </si>
  <si>
    <t>10172/2022</t>
  </si>
  <si>
    <t>CATSER - 20710</t>
  </si>
  <si>
    <t>3.3.90.40.16</t>
  </si>
  <si>
    <t>Outsourcing de Impressão - Substituto Contrato 14/2019</t>
  </si>
  <si>
    <t>Necessário para: realizar impressões e digitalização dos documentos do CNJ sem a necessidade de termos o custo com as impressoras e os consumíveis</t>
  </si>
  <si>
    <t>01317/2021</t>
  </si>
  <si>
    <t>Contrato n. 25/2022</t>
  </si>
  <si>
    <t>CATSER - 26867</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</si>
  <si>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</si>
  <si>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</si>
  <si>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</si>
  <si>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02474/2021</t>
  </si>
  <si>
    <t>Contrato n. 22/2022</t>
  </si>
  <si>
    <t>CATSER - 27103</t>
  </si>
  <si>
    <t>Prestação de serviços técnicos de manutenção em ativos de microinformática e execução continuada de atividades de suporte técnico - Substituto do Contrato 22/2022</t>
  </si>
  <si>
    <t>3.3.90.40.13</t>
  </si>
  <si>
    <t xml:space="preserve">Prestação dos serviços de link de comunicação para interligação das unidades descentralizadas do CNJ. - Contrato 06/2020 SERPRO </t>
  </si>
  <si>
    <t>Garantir a conectividade entre a sede (SAFS), Sala cofre (514 norte) e STF.</t>
  </si>
  <si>
    <t>00436/2020</t>
  </si>
  <si>
    <t>Contrato n. 06/2020</t>
  </si>
  <si>
    <t xml:space="preserve">Prestação dos serviços de link de comunicação para interligação das unidades descentralizadas do CNJ. - Substituto do Contrato 06/2020 SERPRO </t>
  </si>
  <si>
    <t>Prestação de serviço de suporte das Licenças QliK.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</si>
  <si>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</si>
  <si>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14128/2019</t>
  </si>
  <si>
    <t>Contrato n. 47/2019</t>
  </si>
  <si>
    <t>Suporte Técnico para Solução de Telefonia VoIP</t>
  </si>
  <si>
    <t xml:space="preserve">Garantir que a solução de telefonia VOIP tenha suporte técnico apropriado para que os serviços telefônicos disponibilizados aos usuários do CNJ não sofram indisponibilidade. </t>
  </si>
  <si>
    <t>01015/2022</t>
  </si>
  <si>
    <t>Contrato n. 29/2023</t>
  </si>
  <si>
    <t>CATSER - 26980</t>
  </si>
  <si>
    <t>Serviços de manutenção preventiva, corretiva e evolutiva dos subsistemas de alimentação elétrica (UPS e Geradores) da sala cofre (grupo 2). - Substituto do Contrato 21/2018 - Power Safety</t>
  </si>
  <si>
    <t>Garantir a manutenção dos geradores e no-breaks que dão suporte a sala cofre</t>
  </si>
  <si>
    <t>CATSER - 19810</t>
  </si>
  <si>
    <t>Serviços técnicos de monitoramento, operação e controle do ambiente tecnológico do CNJ. Substituto do Contrato 31/2018</t>
  </si>
  <si>
    <t>O contrato de monitoramento, operação e controle tem por finalidade manter a disponibilidade dos serviços mantidos pelo CNJ 24x7</t>
  </si>
  <si>
    <t>02586/2023</t>
  </si>
  <si>
    <t>Contratação de solução de rede sem fio para substituição e ampliação do atual sistema de rede do Conselho Nacional de Justiça (Solução Wireless)</t>
  </si>
  <si>
    <t>Atualizar a solução de rede sem fio do CNJ</t>
  </si>
  <si>
    <t>05913/2021</t>
  </si>
  <si>
    <t>Contrato n. 07/2023</t>
  </si>
  <si>
    <t>CATSER - 27022</t>
  </si>
  <si>
    <t>Serviços de fornecimento de créditos do Azure Monetary Commitment - Contrato 20/2022</t>
  </si>
  <si>
    <t xml:space="preserve">Prover a continuidade do serviço de atendimento ao cidadão por videoconferência denominado “balcão virtual”, a operacionalização do Company, e também atender a demanda da Corregedoria Nacional de créditos da plataforma Azure para serviços de criação de chatbot de suporte aos sistemas da Corregedoria, especialmente PJeCor.
</t>
  </si>
  <si>
    <t>08599/2021</t>
  </si>
  <si>
    <t>Contrato n. 20/2022</t>
  </si>
  <si>
    <t>Serviços de Suporte Técnico para Equipamentos de Armazenagem de Dados (Storage Huawei)</t>
  </si>
  <si>
    <t>Manter a infraestrutura do ambiente</t>
  </si>
  <si>
    <t>09620/2021</t>
  </si>
  <si>
    <t>Contrato n. 35/2022</t>
  </si>
  <si>
    <t>CATSER - 27413</t>
  </si>
  <si>
    <t>Serviços de Suporte Técnico para Equipamentos de Armazenagem de Dados (Storage Huawei) - Substituto do Contrato n. 35/2022</t>
  </si>
  <si>
    <t xml:space="preserve">Serviços de sustentação da subscrição de software online para apoio ao escritório de projetos, gerente de projetos, atividades, e geração de relatórios nativos pela solução e consultoria em implantação. - Contrato 21/2022 </t>
  </si>
  <si>
    <t>Sustentação ao Portfólio de Projetos de TIC do CNJ</t>
  </si>
  <si>
    <t>06738/2021</t>
  </si>
  <si>
    <t xml:space="preserve">Contrato n. 21/2022 </t>
  </si>
  <si>
    <t>Serviços de Suporte Appliance Backup. - Substituto do Contrato 38/2021 - JAMC Consultoria</t>
  </si>
  <si>
    <t>Serviços de suporte técnico para a fitoteca - Contrato 03/2022</t>
  </si>
  <si>
    <t>01203/2021</t>
  </si>
  <si>
    <t>Contrato n. 03/2022</t>
  </si>
  <si>
    <t>Serviços de suporte técnico para a fitoteca - Substituto do Contrato 03/2022</t>
  </si>
  <si>
    <t>Serviços de Reabastecimento dos Tanques do Gerador - Substituto do Contrato 20/2018 - DATACENTER</t>
  </si>
  <si>
    <t>Garantir o funcionamento dos geradores</t>
  </si>
  <si>
    <t>CATSER - 2356</t>
  </si>
  <si>
    <t>Serviços de links de internet com serviço de proteção a DDOS ( Link 1, redundante ao link 2) - Contrato 27/2020 - ConnectX -</t>
  </si>
  <si>
    <t>Manter o acesso à internet</t>
  </si>
  <si>
    <t>10681/2020</t>
  </si>
  <si>
    <t>Contrato n. 27/2020</t>
  </si>
  <si>
    <t>CATSER - 26174</t>
  </si>
  <si>
    <t>Serviços de links de internet com serviço de proteção a DDOS (Link 2, redundante ao link 1) - Contrato 28/2020 - RD Telecom</t>
  </si>
  <si>
    <t>10683/2020</t>
  </si>
  <si>
    <t>Contrato n. 28/2020</t>
  </si>
  <si>
    <t>Serviços de Manutenção do Parque de Computadores Servidores do CNJ (Dell e HP) - Substituto do Contrato 31/2021</t>
  </si>
  <si>
    <t>Soluções de TIC do Portfólio de TIC, exceto os sistemas hospedados na nuvem</t>
  </si>
  <si>
    <t>CATSER - 27359</t>
  </si>
  <si>
    <t>4.4.90.52.35</t>
  </si>
  <si>
    <t>Solução de armazenamento de dados</t>
  </si>
  <si>
    <t>Considerando que as soluções de armazenamento de dados (Storages) do CNJ estão atualmente com grande parte da capacidade ocupada, e já possuem um considerável tempo de uso (não estão mais em garantia do fabricante), faz-se necessário estudar uma solução para substituição dos equipamentos atuais, seja por nova aquisição de storage, ou por expansão de solução já existente.</t>
  </si>
  <si>
    <t>CATSER - 27057</t>
  </si>
  <si>
    <t>Sistema Informatizado de Gestão de Pessoas</t>
  </si>
  <si>
    <t xml:space="preserve">Risco no processamento da Folha de Pagamento do CNJ. SEI n. 02820/2022. Para gerenciar os eventos de pessoal e gerar a Folha de Pagamento, o Conselho Nacional de Justiça (CNJ) conta hoje com o Sistema de Gestão de Recursos Humanos – SGRH, desenvolvido há mais de vinte anos, em uma estrutura já considerada ultrapassada para os padrões atuais, o que vem dificultando a manutenção e a evolução de suas funcionalidades. </t>
  </si>
  <si>
    <t>02820/2022</t>
  </si>
  <si>
    <t>CATSER - 27006</t>
  </si>
  <si>
    <t>TED 08/2020 (STF e CNJ) - Utilização de uma área equivalente a 11,8 metros quadrados do espaço total da sala cofre principal do STF</t>
  </si>
  <si>
    <t>Manter contingência da solução de backup utilizada pelo CNJ</t>
  </si>
  <si>
    <t>10014/2020</t>
  </si>
  <si>
    <t>TED 08/2020</t>
  </si>
  <si>
    <t>3.3.90.40.10</t>
  </si>
  <si>
    <t>Nova Contratação de serviço de Central de Serviços. (Em substituição do Contrato 35/2021)</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</si>
  <si>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</si>
  <si>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</si>
  <si>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Contrato n. 35/2023</t>
  </si>
  <si>
    <t>Subscrição de licenças de uso de softwares Adobe com atualização na modalidade ETLA (36 meses). Substituto do Contrato 34/2021 – SEI 01002/2021</t>
  </si>
  <si>
    <t>Subscrição de licenças de uso de softwares Adobe com atualização na modalidade ETLA , pelo período de 36 meses. Atendimento das demandas da SCE e SPR, conforme formulário “Levantamento de Demandas das Áreas de Negócio para a elaboração da Proposta Orçamentária de TIC – 2024”, Processo SEI 02505/2023, para aquisição de licenças Adobe Acrobat.</t>
  </si>
  <si>
    <t>Licença de solução de desenhos de CAD (computer aided design). AEC Collection (AUTOCAD e REVIT) (36 meses). Substituto do Contrato 21/2021 – SEI 01789/2020</t>
  </si>
  <si>
    <t>Solução de Gestão de Processos de Negócio (BPMS - Business Process Management Software/Suite)</t>
  </si>
  <si>
    <t>Implantação de ferramenta integrada de gestão de processos. A solução não visa unicamente a utilização da ferramenta na SEGPP, visto que o objetivo é a adoção de uma ferramenta integrada para gestão dos processos de TIC do DTI.</t>
  </si>
  <si>
    <t>Licenças Microsoft para as áreas negociais</t>
  </si>
  <si>
    <t>Atendimento das demandas do ECP, DMF, DPJ, ECP e COAD/SAU, conforme formulário “Levantamento de Demandas das Áreas de Negócio para a elaboração da Proposta Orçamentária de TIC – 2024”, Processo SEI 02505/2023, para aquisição e manutenção de licenças Microsoft Project, Power BI, Power APPs, Power Automate.</t>
  </si>
  <si>
    <t>4.4.90.52.41</t>
  </si>
  <si>
    <t xml:space="preserve">Aquisição de computadores de Alto desempenho </t>
  </si>
  <si>
    <t>Atendimento das demandas da SCS, conforme formulário “Levantamento de Demandas das Áreas de Negócio para a elaboração da Proposta Orçamentária de TIC – 2024”, Processo SEI 02505/2023, para aquisição de 16 computadores de alto desempenho para uso dos designers, redatores publicitários e fotógrafos.</t>
  </si>
  <si>
    <t>CATMAT - 6661</t>
  </si>
  <si>
    <t>Transferido para outras ações orçamentárias</t>
  </si>
  <si>
    <t>SEG0</t>
  </si>
  <si>
    <t xml:space="preserve">Serviços Gerenciados de Segurança da Informação (MSS) - Substituto do Contrato 08/2021 - ISH </t>
  </si>
  <si>
    <t>Manter a segurança dos recursos de TIC</t>
  </si>
  <si>
    <t>CATSER - 27340</t>
  </si>
  <si>
    <t>Serviços e soluções para adequação do CNJ à Lei 13.709/2018, Lei Geral de Proteção de Dados (LGPD) - 02094/2021</t>
  </si>
  <si>
    <t>Manter a conformidade com a LGPD</t>
  </si>
  <si>
    <t>02094/2021</t>
  </si>
  <si>
    <t>Contrato n. 27/2022</t>
  </si>
  <si>
    <t>Serviços e soluções para adequação do CNJ à Lei 13.709/2018, Lei Geral de Proteção de Dados (LGPD) - Substituto do Contrato 27/2022 - SEI 02094/2021</t>
  </si>
  <si>
    <t>Serviços de Apoio Técnico da Solução GRC ( Governança Riscos e Compliance) - Contrato 10/2022</t>
  </si>
  <si>
    <t>Manter a segurança das aplicações e ativos que compõem o Portfólio de TIC. Operacionalizar a Gestão de Riscos e a Gestão da Continuidade de Serviços Essenciais de TIC.</t>
  </si>
  <si>
    <t>01619/2021</t>
  </si>
  <si>
    <t>Contrato n. 10/2022</t>
  </si>
  <si>
    <t>Serviços de Apoio Técnico da Solução GRC ( Governança Riscos e Compliance) - Substituto do Contrato 10/2022</t>
  </si>
  <si>
    <t>Serviços de Provimento de solução de segurança de inteligência cibernética - Contrato 38/2019 - ZERUM</t>
  </si>
  <si>
    <t>Manter a segurança aos recursos de TIC</t>
  </si>
  <si>
    <t>00414/2018</t>
  </si>
  <si>
    <t>Contrato n. 38/2019</t>
  </si>
  <si>
    <t>Serviços de Provimento de solução de segurança de inteligência cibernética - Substituto do Contrato 38/2019 - ZERUM</t>
  </si>
  <si>
    <t>Solução de análise de vulnerabilidades do Conselho Nacional de Justiça (CNJ) - Substituto do Contrato 26/2021</t>
  </si>
  <si>
    <t>Manter a segurança das aplicações que compõem o Portfólio de TIC</t>
  </si>
  <si>
    <t>Solução de Segurança de Perímetro de Rede (Serviço de Suporte Técnico on site/remoto para toda a solução Fortinet e seus componentes.)</t>
  </si>
  <si>
    <t>03987/2022</t>
  </si>
  <si>
    <t>Contrato n. 01/2023</t>
  </si>
  <si>
    <t>Serviços de Garantia Técnica e Treinamento (WAF) - de solução de firewall de aplicação Web (WAF). Contrato 01982/2021</t>
  </si>
  <si>
    <t>01982/2021</t>
  </si>
  <si>
    <t>CATSER - 27740</t>
  </si>
  <si>
    <t>3.3.90.40.23</t>
  </si>
  <si>
    <t>Serviços de emissão de certificados digitais padrão ICP-Brasil, incluindo visitas para sua emissão, bem como o fornecimento de dispositivos tokens USB para armazenamento. - Substituto do Contrato 30/2020 - Soluti</t>
  </si>
  <si>
    <t>Possibilitar acesso aos serviços que exigem o certificado digital como meio de acesso</t>
  </si>
  <si>
    <t>09278/2023</t>
  </si>
  <si>
    <t>CATSER - 27227</t>
  </si>
  <si>
    <t>Expansão da solução de Inteligência Cibernética</t>
  </si>
  <si>
    <t>Propiciar expansão da ferramenta de busca parametrizada de dados e informações em todo o ambiente institucional do CNJ.</t>
  </si>
  <si>
    <t>CATSER - 27324</t>
  </si>
  <si>
    <t>3.3.90.40.22</t>
  </si>
  <si>
    <t>4.4.90.40.06</t>
  </si>
  <si>
    <t>Aquisição de Solução de Firewall de Aplicação WEB (WAF) - 01982/2021</t>
  </si>
  <si>
    <t>Contratação de solução/serviço de gestão de acesso privilegiado (PAM)</t>
  </si>
  <si>
    <t>Proteção de credenciais privilegiadas</t>
  </si>
  <si>
    <t>Contratação de solução/serviço de gestão de vulnerabilidades de containers</t>
  </si>
  <si>
    <t>Falta de gestão de vulnerabilidades de infraestrutura de containers</t>
  </si>
  <si>
    <t>Contratação de licenças E5 Security da Microsoft 365</t>
  </si>
  <si>
    <t>Necessidade de inclusão de ferramentas avançadas de segurança para ambiente Windows e Office 365</t>
  </si>
  <si>
    <t>0006</t>
  </si>
  <si>
    <t>DPJ</t>
  </si>
  <si>
    <t>Minha Biblioteca - COIN</t>
  </si>
  <si>
    <t xml:space="preserve">Assinatura de bases de informação bibliográfica, que disponibilizam acesso digital a produtos informacionais, tais como livros, periódicos, jurisprudência, legislação, doutrina, etc., na área do Direito e outras áreas correlatas à atuação do Conselho Nacional de Justiça. Visa suprir as necessidades de informação dos Conselheiros, Magistrados e Servidores do CNJ. </t>
  </si>
  <si>
    <t>II</t>
  </si>
  <si>
    <t>CATSER - 23108</t>
  </si>
  <si>
    <t>Revista dos Tribunais Online - COIN</t>
  </si>
  <si>
    <t>Biblioteca Digital Proview - COIN</t>
  </si>
  <si>
    <t>Hein Online - COIN</t>
  </si>
  <si>
    <t>3.3.90.39.63</t>
  </si>
  <si>
    <t>Digital Object Identifier - DOI</t>
  </si>
  <si>
    <t>A atribuição de código DOI (Digital Object Identifier) aos artigos da Revista do CNJ garante a preservação digital do conhecimento publicado no períodico, contribui para maior visibilidade dos artigos, e auxilia o processo de contagem de citações (requisito avaliado pela CAPES para classificação no Qualis).</t>
  </si>
  <si>
    <t>III</t>
  </si>
  <si>
    <t>CATSER - 19275</t>
  </si>
  <si>
    <t>3.3.90.39.51</t>
  </si>
  <si>
    <t>6ª Edição da Série Justiça Pesquisa</t>
  </si>
  <si>
    <t>Trata-se de programa contínuo, realizado desde 2012, que consiste na contratação de pesquisas que subsidiem a implementação e avaliação de políticas judiciárias, conforme art. 5º da Lei 11. 364, de 26 de outubro de 2006</t>
  </si>
  <si>
    <t>01179/2023</t>
  </si>
  <si>
    <t>Contratos n. 23/2023 ; 24/2023 ; 25/2023 ; 26/2023 ; 27/2023 ; 28/2023</t>
  </si>
  <si>
    <t>CATSER - 15342</t>
  </si>
  <si>
    <t>3.3.90.39.05</t>
  </si>
  <si>
    <t>Serviços de tradução</t>
  </si>
  <si>
    <t>Serivços de tradução de materiais produzidos e publicados pelo DPJ, além de tradução de normativas do CNJ que afetem as atividades do DPJ</t>
  </si>
  <si>
    <t>05728/2023</t>
  </si>
  <si>
    <t>3.3.90.18.01</t>
  </si>
  <si>
    <t>Parceria institucional com IPEA</t>
  </si>
  <si>
    <t>Trata-se de atividade que consiste na realização de parcerias institucionais para a consecução de pesquisas que subsidiem a implementação e avaliação de políticas judiciárias, conforme art. 5º da Lei 11. 364, de 26 de outubro de 2006</t>
  </si>
  <si>
    <t>09999/2021</t>
  </si>
  <si>
    <t>TED 03/2022</t>
  </si>
  <si>
    <t>0007</t>
  </si>
  <si>
    <t>SGP</t>
  </si>
  <si>
    <t>Realização de Eventos de Capacitação de Servidores (Internos e Externos)</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</si>
  <si>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Para 2024 estamos estimando um custo médio de R$ 754,93 por servidor capacitado.</t>
  </si>
  <si>
    <t>Programa de Desenvolvimento de Líderes</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</si>
  <si>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118 líderes e a meta de capacitar pelo menos 55% dos gestores em pelo menos 15 horas de participação nos eventos que compôem o Programa de Desenvolvimento de Líderes, projeta-se a necessidade de capacitar 65 gestores.</t>
  </si>
  <si>
    <t>0008</t>
  </si>
  <si>
    <t>CEAJUD</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</si>
  <si>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</si>
  <si>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</si>
  <si>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I</t>
  </si>
  <si>
    <t>CATSER - 19321</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</si>
  <si>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</si>
  <si>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</si>
  <si>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 xml:space="preserve">Capacitação de Servidores - Presencial Investimento para pagamento dos instrutores dos cursos
 presenciais oferecidos pelo CEAJUD e ANSPJ - </t>
  </si>
  <si>
    <t>Com o retorno das atividades presenciais,
novos cursos presenciais de mediação, adminissibilidade recursal, formação de entrevistadores forenses, cursos sobre o marco legal devem retornar à agenda do CEAJUD. Além disso foi criada a Academia Nacional de Segurança do Poder Judiciário que está compartilhando os recursos orçamentários do CEAJUD.</t>
  </si>
  <si>
    <t>000A</t>
  </si>
  <si>
    <t>SCS</t>
  </si>
  <si>
    <t>Contratação de empresa especializada para prestação de serviços na área de Assessoria de Comunicação Social (SEI 04788/2021)</t>
  </si>
  <si>
    <t xml:space="preserve">A prestação de serviço especializado em comunicação social </t>
  </si>
  <si>
    <t>04788/2021</t>
  </si>
  <si>
    <t>Contrato n. 07/2022</t>
  </si>
  <si>
    <t>Prestação de serviços de apoio administrativo nas áreas de operação e manutenção preventiva e corretiva em equipamentos de áudio e vídeo (SEI 13197/2018)</t>
  </si>
  <si>
    <t>Serviços de manutenção preventiva e corretiva de equipamentos de áudio e vídeo.</t>
  </si>
  <si>
    <t>3.3.90.39.49</t>
  </si>
  <si>
    <t>CLIPPING jornalístico on-line, com monitoramento de mídia, gestão da informação e análise de conteúdo (SEI 08552/2019)</t>
  </si>
  <si>
    <t>Prestação de serviço especializado em coleta de notícias de interesse do Conselho Nacional de Justiça</t>
  </si>
  <si>
    <t>08552/2019</t>
  </si>
  <si>
    <t>Contrato n. 12/2020</t>
  </si>
  <si>
    <t>CATSER - 10129</t>
  </si>
  <si>
    <t>Banco de imagens, por meio digital (internet) (SEI 09534/2022)</t>
  </si>
  <si>
    <t>O serviço de Banco de Imagens é extremamente importante para a produção de conteúdo interno e externo</t>
  </si>
  <si>
    <t>XV</t>
  </si>
  <si>
    <t>09534/2022</t>
  </si>
  <si>
    <t>Contrato n. 32/2023</t>
  </si>
  <si>
    <t>CATSER - 22640</t>
  </si>
  <si>
    <t xml:space="preserve">Material  gráfico 1 </t>
  </si>
  <si>
    <t>Impressão de folhetos, banners, folders e outros materiais de grande volume em papel.</t>
  </si>
  <si>
    <t>CATSER - 21504</t>
  </si>
  <si>
    <t xml:space="preserve">Material  gráfico 2 </t>
  </si>
  <si>
    <t>09541/2022</t>
  </si>
  <si>
    <t>Material Vinil 1</t>
  </si>
  <si>
    <t>Prestação de serviços de impressão em vinil para eventos. Necessário para a maior parte dos eventos para fins de divulgação e sinalização</t>
  </si>
  <si>
    <t>01004/2022</t>
  </si>
  <si>
    <t>ARP 04/2022</t>
  </si>
  <si>
    <t>CATSER - 8306</t>
  </si>
  <si>
    <t>Material Vinil 2</t>
  </si>
  <si>
    <t>09542/2022</t>
  </si>
  <si>
    <t>ARP n. 04/2023</t>
  </si>
  <si>
    <t>Material Vinil 3</t>
  </si>
  <si>
    <t>09517/2023</t>
  </si>
  <si>
    <t>Jornais e revistas online 2023 (SEI 09545/2022) 00931/2022)</t>
  </si>
  <si>
    <t>Serviço de assinatura de revistas e jornais nacionais de forma on line com o objetivo de receber notícias dos cenários nacional e internaciona</t>
  </si>
  <si>
    <t>09545/2022</t>
  </si>
  <si>
    <t>NE 270/2023</t>
  </si>
  <si>
    <t>Jornais e revistas online 2024 (SEI 10017/2023 09545/2022)</t>
  </si>
  <si>
    <t>Produção de Programas de TV e Rádio por meio do Termo de Cooperação com o STF (SEI 10149/2021 04231/2018/ SEI 05055/2019 ) 08217/2022</t>
  </si>
  <si>
    <t>Produção de programas busca disseminar a informação sobre matérias que ocorrem no CNJ, bem como de interesse o Poder Judicário</t>
  </si>
  <si>
    <t>10149/2021 ; 04231/2018 ; 05055/2019</t>
  </si>
  <si>
    <t>TED 03/2019</t>
  </si>
  <si>
    <t>Monitoramento de redes sociais - (SEI 08820/2021)</t>
  </si>
  <si>
    <t xml:space="preserve">Gerenciar os canais oficiais do CNJ nas redes socias, conhecer melhor os usuários e definir estrateégias para melhora do alcance das publicações. </t>
  </si>
  <si>
    <t>08820/2021</t>
  </si>
  <si>
    <t>Contrato n. 28/2022</t>
  </si>
  <si>
    <t>CATSER - 22870</t>
  </si>
  <si>
    <t>Templates ( SEI 10022/2023 - 09548/2022)</t>
  </si>
  <si>
    <t>Gerenciar o conteúdo de apresentação viusal para vídeos</t>
  </si>
  <si>
    <t>CATSER - 16535</t>
  </si>
  <si>
    <t>Flirkr (SEI 10018/2023 - 09550/2022)</t>
  </si>
  <si>
    <t>Ferramenta assinatura anual de serviço de armazenamento de imagens do CNJ</t>
  </si>
  <si>
    <t>10018/2023</t>
  </si>
  <si>
    <t>Flirkr (SEI 10019/2023 - 09553/2022)</t>
  </si>
  <si>
    <t>10019/2023</t>
  </si>
  <si>
    <t>Newsletter (SEI 10020/2023 - 09556/2022)</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</si>
  <si>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</si>
  <si>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10020/2023</t>
  </si>
  <si>
    <t>Lnk.Bio Instagram</t>
  </si>
  <si>
    <t>ferramento de integração de link no Instagram</t>
  </si>
  <si>
    <t>09719/2023</t>
  </si>
  <si>
    <t>CATSER - 24988</t>
  </si>
  <si>
    <t>Mailing 1</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</si>
  <si>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</si>
  <si>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05608/2022</t>
  </si>
  <si>
    <t>20/01/2024</t>
  </si>
  <si>
    <t>Mailing 2</t>
  </si>
  <si>
    <t>10023/2023</t>
  </si>
  <si>
    <t>20/01/2025</t>
  </si>
  <si>
    <t>Libras ( SEI 01959/2022 - 09561/2022)</t>
  </si>
  <si>
    <t>Contratação da ferramenta de tradução de libras e voz para o Portal CNJ.</t>
  </si>
  <si>
    <t>09561/2022</t>
  </si>
  <si>
    <t>Contrato n. 17/2023</t>
  </si>
  <si>
    <t>CATSER - 27928</t>
  </si>
  <si>
    <t>TV por assinatura 1</t>
  </si>
  <si>
    <t xml:space="preserve">Contratação de empresa especializada emm prestação de serviço  prestação de serviços de TV por assinatura para colher informações para realização de matérias judiciárias.  </t>
  </si>
  <si>
    <t>09563/2022</t>
  </si>
  <si>
    <t>CATSER - 16209</t>
  </si>
  <si>
    <t>TV por assinatura 2</t>
  </si>
  <si>
    <t>13815/2023</t>
  </si>
  <si>
    <t>Pllug in elementor (SEI 10021/2023 - 04079/2023)</t>
  </si>
  <si>
    <t xml:space="preserve">Contratação Contratação de plugin Elementor é um plugin para criação de sites e páginas do WordPress. . </t>
  </si>
  <si>
    <t>10021/2023</t>
  </si>
  <si>
    <t>CATSER - 26077</t>
  </si>
  <si>
    <t>Televisão corporativa (SEI 10232/2020)</t>
  </si>
  <si>
    <t>Contratação de empresa de televisão corporativa que tenha áudio, vídeo e imagem para os elevadores, salas de reuniões, plenário e auditório do CNJ com conteúdo interno e customizados conforme necessidade do Conselho. A contratação deve englobar o fornecimento dos equipamentos de hardware e software assim como a instalação</t>
  </si>
  <si>
    <t>10232/2020</t>
  </si>
  <si>
    <t>CJF ressarcimento despesas material gráfico e vinil (SEI 04344/2015) SEI 04372/2021</t>
  </si>
  <si>
    <t>desenvolvimento de ações com vistas à realização de serviços gráficos de interesse institucional do CNJ</t>
  </si>
  <si>
    <t>04372/2021</t>
  </si>
  <si>
    <t>TED 03/2021</t>
  </si>
  <si>
    <t>4.4.90.52.33</t>
  </si>
  <si>
    <t>Equipamentos fotográficos, de audiovisual,  desing gráfico e imprensa</t>
  </si>
  <si>
    <t>Apoiar o núcleo de reportagem fotográfica da SCS.</t>
  </si>
  <si>
    <t>CATMAT - 17172</t>
  </si>
  <si>
    <t>Equipamento maquina encardenadora</t>
  </si>
  <si>
    <t>11220/2023</t>
  </si>
  <si>
    <t>CATMAT - 1163</t>
  </si>
  <si>
    <t>Contratação de empresa especializada no Software GLPI (Gestionnaire Libre de Parc Informatique) para prestação de serviços de implantação, suporte técnico, treinamento e consultoria</t>
  </si>
  <si>
    <t>A missão da Central de Serviços de TIC do CNJ é minimizar impactos de falhas técnicas e melhorar o atendimento. O atual sistema, OTRS, não atende às necessidades, sem atualizações e relatórios adequados. Dessa forma, se faz necessária contratação de empresa especializada no Software GLPI (Gestionnaire Libre de Parc Informatique) para prestação de serviços de implantação, suporte técnico, treinamento e consultoria</t>
  </si>
  <si>
    <t>03022/2023</t>
  </si>
  <si>
    <t>CATSER - 26972</t>
  </si>
  <si>
    <t>4.4.90.40.05</t>
  </si>
  <si>
    <t>Contratação de licenças NetBackup, incluíndo garantia do software em sua última versão, por 5 (cinco) anos.</t>
  </si>
  <si>
    <t>Por meio do contrato n. 38/2021 o CNJ adquiriu garantia do licenciamento do software Netbackup por 24 meses. Após o encerramento deste prazo (em dezembro de 2023), será necessário realizar nova contratação para manutenção da utilização do software.</t>
  </si>
  <si>
    <t>01931/2023</t>
  </si>
  <si>
    <t>Confecção de brasões da República em metal para utilização em púlpitos e mesa do CNJ</t>
  </si>
  <si>
    <t>atendimento da Lei n. 5.700, de 1.º de setembro de 1971, que dispõe sobre a forma e a apresentação dos Símbolos Nacionais</t>
  </si>
  <si>
    <t>IV</t>
  </si>
  <si>
    <t>13436/2023</t>
  </si>
  <si>
    <t>CATMAT - 16549</t>
  </si>
  <si>
    <t>Fornecimento de refeições (almoço) com acompanhamento de bebidas não alcoólicas.</t>
  </si>
  <si>
    <t>A presente contratação complementa a prestação dos serviços de copeiragem aos Conselheiros e Juízes Auxiliares nos dias de Sessões Plenárias do Conselho Nacional de Justiça. A prestação dos serviços visa a produtividade das atividades e assim evitar a perda de tempo com deslocamentos e logística para os Senhores Conselheiros e Juízes Auxiliares para se alimentarem.</t>
  </si>
  <si>
    <t>13865/2023</t>
  </si>
  <si>
    <t>Aquisição de plantas ornamentais naturais com cachepôs</t>
  </si>
  <si>
    <t xml:space="preserve">A aquisição do objeto em questão justifica-se pela necessidade de composição de ambientes para o uso de autoridades deste Conselho, em especial a Presidência, os quais são utilizados ainda para recepção de autoridades externas. </t>
  </si>
  <si>
    <t>11730/2023</t>
  </si>
  <si>
    <t>0004</t>
  </si>
  <si>
    <t>3.3.90.39.00</t>
  </si>
  <si>
    <t>TED 02/2020 - UFPE = Projeto Laboratório de Mineração de Processos no Judiciário</t>
  </si>
  <si>
    <t>Fomentar a Transformação Digital</t>
  </si>
  <si>
    <t>01764/2020</t>
  </si>
  <si>
    <t>3.3.90.30.25</t>
  </si>
  <si>
    <t>Aquisição de 114 refis, por meio de Dispensa de Licitação, para os filtros Soft Everest Plus instalados no Conselho Nacional de Justiça.</t>
  </si>
  <si>
    <t>Segundo o fabricante Soft, a vida útil do elemento filtrante é de 4000 litros, ou 200 garrafões de 20 litros, ou pelo desgaste do tempo, que é em torno de 9 a 12 meses, mesmo sem nenhuma alteração nos aspectos físicos e químicos da água.</t>
  </si>
  <si>
    <t>12186/2023</t>
  </si>
  <si>
    <t>CATMAT - 7451</t>
  </si>
  <si>
    <t>Serviços de Manutenção do Parque de Computadores Servidores do CNJ (Dell e HP) - Contrato 31/2021</t>
  </si>
  <si>
    <t>03778/2021</t>
  </si>
  <si>
    <t>Contrato n. 31/2021</t>
  </si>
  <si>
    <t>Serviços de Suporte Appliance Backup. Contrato 38/2021 - JAMC Consultoria</t>
  </si>
  <si>
    <t>03851/2021</t>
  </si>
  <si>
    <t>Contrato n. 38/2021</t>
  </si>
  <si>
    <t>Serviços de Sustentação de Recuperação dos dados contidos no Cadastros de Pessoa Física (CPF) e Pessoa Jurídica(CNPJ), para fornecimento de informações ao PJe e outros sistemas do Conselho Nacional de Justiça - Contrato 06/2022</t>
  </si>
  <si>
    <t>Sustenta aplicações que necessitam dos dados da Receita Federal</t>
  </si>
  <si>
    <t>03235/2021</t>
  </si>
  <si>
    <t>Contrato n. 06/2022</t>
  </si>
  <si>
    <t xml:space="preserve">Serviços Gerenciados de Segurança da Informação (MSS) - Contrato 08/2021 - ISH </t>
  </si>
  <si>
    <t>00131/2020</t>
  </si>
  <si>
    <t>Contrato n. 08/2021</t>
  </si>
  <si>
    <t>Fornecimento de coquetel volante e coffee break</t>
  </si>
  <si>
    <t>A presente contratação se faz necessária, haja vista os eventos realizados no CNJ, tais como solenidades de posses, reuniões administrativas, sessões plenárias, seminários, congressos, encontros e demais eventos promovidos pelo CNJ</t>
  </si>
  <si>
    <t>11166/2023</t>
  </si>
  <si>
    <t>Aquisição de computadores Mac Mini para edições audiovisuais</t>
  </si>
  <si>
    <t>O setor de áudio e vídeo tem realizado a produção de vários vídeos institucionais, com animações gráficas e manipulação de vetores. A parte da renderização é de crucial importância pois determina o tempo em que os produtos devem ser entregues. Paralelo a isto, está o desempenho dos computadores durante o processo de edição ao se utilizar programas como o Adobe After Effects, Premiere e Illustrator. Diversos artigos de revistas especializadas demonstram que os chips M2 (exclusivos apple) são superiores aos chips mais utilizados como intel. Portanto, para a excelência, qualidade e rapidez na entrega dos produtos, entendemos que a aquisição de computadores apple é a melhor solução.</t>
  </si>
  <si>
    <t>08575/2023</t>
  </si>
  <si>
    <t>NE 93/2024</t>
  </si>
  <si>
    <t>Saída de recursos</t>
  </si>
  <si>
    <t>Informações acrescentadas ou alteradas</t>
  </si>
  <si>
    <t>Entrada de recursos</t>
  </si>
  <si>
    <t>OUTRAS AÇÕES DISCRICIONÁRIAS 2024</t>
  </si>
  <si>
    <t>3.3.90.47.22</t>
  </si>
  <si>
    <t>Taxa de iluminação pública</t>
  </si>
  <si>
    <t>Encargo vinculado ao fornecimento de energia elétrica</t>
  </si>
  <si>
    <t>3.3.90.47.10</t>
  </si>
  <si>
    <t>Licenciamento anual</t>
  </si>
  <si>
    <t>Renovação da concessão da autorização de uso de placas especiais</t>
  </si>
  <si>
    <t>SOF a designar</t>
  </si>
  <si>
    <t>Pagamento IPTU sede CNJ</t>
  </si>
  <si>
    <t>Obrigação contratual decorrente da locação dos imóveis sede do CNJ</t>
  </si>
  <si>
    <t xml:space="preserve">040104 - SEMAP </t>
  </si>
  <si>
    <t>05134/2029</t>
  </si>
  <si>
    <t xml:space="preserve">3.3.90.14.14 </t>
  </si>
  <si>
    <t>Diárias</t>
  </si>
  <si>
    <t>Permitir a execução dos projetos do CNJ, incluindo-se atividades do DMF, Corregedoria Nacional de Justiça, cursos, congressos, seminários e eventos diversos, trabalho das comissões, assim como oferecer estrutura para estadia de Conselheiros e Juizes não residentes em Brasília a participarem de sessões plenárias e conduzirem trabalhos em seus gabinetes.</t>
  </si>
  <si>
    <t>3.3.90.93.03</t>
  </si>
  <si>
    <t>Valores destinados a compensar as despesas de instalação dos Conselheiros, Juizes Auxiliares e Servidores que, no interesse da Administração, se deslocarem da respectiva sede e passar a ter exercício no Conselho Nacional de Justiça.
O referido benefício engloba:
* Ajuda de Custo para atender às despesas de viagem, mudança e instalação;
* Indenização dos valores gastos com transporte;
* Indenização dos valores gastos com o transporte de mobiliário, bagagem e bens pessoais</t>
  </si>
  <si>
    <t>A indenização da ajuda de custo para mudança é calculada com base na remuneração do servidor, subsídio do juiz auxiliar ou conselheiro e compreende o ressarcimento dos gastos com transporte de mobiliário e bagagem e passagem aérea ou rodoviária.
No cálculo, consideramos o pagamento de  20  benefícios num valor médio de R$ 35.000,00, já prevendo-se o encerramento de mandato de 5 (cinco) Conselheiros no ano de 2024.</t>
  </si>
  <si>
    <t>04169/2023</t>
  </si>
  <si>
    <t>33.90.14</t>
  </si>
  <si>
    <t>Diárias pagas à Corregedora, aos Juízes Auxiliares e aos servidores em decorrência de afastamento da sede do serviço para realização de inspeção ou correição, bem como despesas referentes ao deslocamento da Corregedora e dos Juízes Auxiliares para sede do Conselho Nacional de Justiça (Instrução Normativa n. 10/2010, art. 2º e art. 8º, §2º).</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</si>
  <si>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</si>
  <si>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</si>
  <si>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3.3.90.93.11</t>
  </si>
  <si>
    <t>Concessão de Bolsas de Pós-Gradução</t>
  </si>
  <si>
    <t>O CNJ oferece regularmente bolsas de língua estrangeira aos servidores interessados em adquirir esse conhecimento. As bolsas são concedidas para o estudo dos idiomas inglês, espanhol, alemão, italiano e francês que se desenvolvam regularmente, sob a forma de metodologia direta ou instrumental, na modalidade presencial no Distrito Federal. O curso deve ter carga horária mínima de duas horas semanais. O dispositivo que regulamenta as bolsas de língua é a IN nº 32/2015.
Considerando as bolsas vigentes e novas bolsas a serem concedidas em 2024, a SEDUC projeta a manutenção de 5 bolsas de graduação, 5 bolsas lato sensu, 15 bolsas de mestrado e 10 bolsas de doutorado.</t>
  </si>
  <si>
    <t>Concessão de Bolsas de Língua Estrangeira</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</si>
  <si>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dividem-se em:
I – eventos internos: promovidos pelo CNJ e planejados para atender às demandas de educação corporativa do Conselho;
II – eventos externos: totalmente promovidos e organizados por outra instituição que não o CNJ, com inscrição, em geral, aberta ao público.
O custo total para a manutenção em 2024 de até 35 bolsas de línguas é de R$ 140.000,00.</t>
  </si>
  <si>
    <t>Programa de Certificação Profissional</t>
  </si>
  <si>
    <t>O Programa de Certificação Profissional é destinado a obtenção ou renovação de certificação profissional, conforme dispõe o art. 2º da Instrução Normativa nº 79, de 27 de agosto de 2021.
Destaca-se que apesar desta demanda não constar de forma separada na captação de demandas de 2022, não se trata de nova demanda. O Programa de Certificação Profissional esta compreendido dentro do orçamento do item 1 (Realização de Eventos de Capacitação de Servidores (Internos e Externos). Ademais, para o exercício de 2023 decidimos por separar esta despesa do item 1.
Este valor contempla a oferta de de até 14 bolsas de certificação profissional de até R$ 7.292,60 por servidor contemplado.</t>
  </si>
  <si>
    <t>0009</t>
  </si>
  <si>
    <t>SG/DG</t>
  </si>
  <si>
    <t>PO criado para permitir planejamento mais preciso sobre a destinação de recursos orçamentários e financeiros para projetos estratégicos do CNJ e aumentar a a qualidade de sua gestão.</t>
  </si>
  <si>
    <t>216H</t>
  </si>
  <si>
    <t>AMMM</t>
  </si>
  <si>
    <t>Ajuda de Custo para moradia a magistrados e membros do Ministério Público. (Auxílo-Moradia para magistrados).</t>
  </si>
  <si>
    <t>AMOA</t>
  </si>
  <si>
    <t>3.3.90.93.07</t>
  </si>
  <si>
    <t>Auxílio-moradia para outros agentes públicos - ativos. (Auxílio-Moradia para servidores).</t>
  </si>
  <si>
    <t>3.3.90.40.20</t>
  </si>
  <si>
    <t>Treinamento DTI</t>
  </si>
  <si>
    <t>Incentivar o desenvolvimento de capacidades dos Sevidores de TIC</t>
  </si>
  <si>
    <t>00003/2022</t>
  </si>
  <si>
    <t>Reconhecimento de dívida - Contrato n. 35/2021</t>
  </si>
  <si>
    <t>Reconhecimento de dívida</t>
  </si>
  <si>
    <t>03577/2020</t>
  </si>
  <si>
    <t>RESUMO POR UNIDADE</t>
  </si>
  <si>
    <t>Orçamento</t>
  </si>
  <si>
    <t>Limite</t>
  </si>
  <si>
    <t>Diferença</t>
  </si>
  <si>
    <t>AÇÃO ORÇAMENTÁRIA / PLANO ORÇAMENTÁRIO (PO)</t>
  </si>
  <si>
    <t>PROPOSTA LOA 2024</t>
  </si>
  <si>
    <t>DOTAÇÃO ATUALIZADA</t>
  </si>
  <si>
    <t>Documentos de atualização das propostas orçamentárias</t>
  </si>
  <si>
    <t>PRIMÁRIAS DISCRICIONÁRIAS - RP 2</t>
  </si>
  <si>
    <t xml:space="preserve">Controle da atuação administrativa e financeira do Poder Judiciário e do cumprimento dos deveres funcionais dos juízes </t>
  </si>
  <si>
    <t>PO-0001- Apoio Administrativo</t>
  </si>
  <si>
    <t>PO-0002 - Corregedoria Nacional de Justiça</t>
  </si>
  <si>
    <t>PO-0003 - Manutenção e Aprimoramento dos Serviços e do Parque Tecnológico do CNJ</t>
  </si>
  <si>
    <t>PO-0004 - Manutenção e Aprimoramento do Processo Judicial Eletrônico - PJE</t>
  </si>
  <si>
    <t>PO-SEG0 - Segurança da Informação</t>
  </si>
  <si>
    <t>PO-0006 - Pesquisas e Diagnósticos do Poder Judiciário</t>
  </si>
  <si>
    <t>TOTAL</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</si>
  <si>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</si>
  <si>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</si>
  <si>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</si>
  <si>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</si>
  <si>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Ajuda de Custo para Moradia</t>
  </si>
  <si>
    <t>AMMM - Ajuda de Custo para moradia a magistrados e membros do MP</t>
  </si>
  <si>
    <t>AMOA - Auxílio-moradia para outros agentes públicos - ativos</t>
  </si>
  <si>
    <t>CATMAT | CATSER</t>
  </si>
  <si>
    <t>CATMAT - 57</t>
  </si>
  <si>
    <t>CATMAT - 14570</t>
  </si>
  <si>
    <t xml:space="preserve">CATMAT - 19783 </t>
  </si>
  <si>
    <t>GND</t>
  </si>
  <si>
    <t>CATSER - 16691</t>
  </si>
  <si>
    <t>CATSER - 16748</t>
  </si>
  <si>
    <t>CATSER - 17027</t>
  </si>
  <si>
    <t>CATSER - 19224</t>
  </si>
  <si>
    <t>CATSER - 20052</t>
  </si>
  <si>
    <t>CATSER - 22039</t>
  </si>
  <si>
    <t>CATSER - 24902</t>
  </si>
  <si>
    <t>CATSER - 25216</t>
  </si>
  <si>
    <t>CATSER - 3565</t>
  </si>
  <si>
    <t>CATMAT - 14614</t>
  </si>
  <si>
    <t>Realização de certame para admissão de pessoal no Conselho Nacional de Justiça</t>
  </si>
  <si>
    <t>12596/2023</t>
  </si>
  <si>
    <t>Contrato 9/2024</t>
  </si>
  <si>
    <t>Aquisição de chapas em MDF</t>
  </si>
  <si>
    <t>00610/2024</t>
  </si>
  <si>
    <t>CATMAT - 14744</t>
  </si>
  <si>
    <t>CATMAT - 10884</t>
  </si>
  <si>
    <t>NE 17/2024</t>
  </si>
  <si>
    <t>Contrato n. 08/2024</t>
  </si>
  <si>
    <t>Contrato n. 07/2024</t>
  </si>
  <si>
    <t>Contrato n. 01/2024</t>
  </si>
  <si>
    <t>3.3.90.30.50</t>
  </si>
  <si>
    <t>Aquisição de Bandeiras, Corda e Mosquetões para a sede do CNJ - BANDEIRAS</t>
  </si>
  <si>
    <t>02293/2023</t>
  </si>
  <si>
    <t>CATMAT - 8345</t>
  </si>
  <si>
    <t>CATSER - 13447</t>
  </si>
  <si>
    <t>CATSER - 14397</t>
  </si>
  <si>
    <t>CATSER - GRUPO 632</t>
  </si>
  <si>
    <t>CATMAT - 6446</t>
  </si>
  <si>
    <t>CATSER - GRUPO 141</t>
  </si>
  <si>
    <t>Aquisição de webcams para os usuários do Conselho Nacional Justiça</t>
  </si>
  <si>
    <t xml:space="preserve">Viabilizando a realização de sessões telepresenciais, audiências com advogados, reuniões de trabalho e atendimento aos Gabinetes dos Senhores Conselheiros, </t>
  </si>
  <si>
    <t>13916/2023</t>
  </si>
  <si>
    <t>CATMAT - 14697</t>
  </si>
  <si>
    <t>Base de acesso a normas técnicas</t>
  </si>
  <si>
    <t>Assinatura de base de acesso a Normas Técnicas (ABNT NBR) e ISO.</t>
  </si>
  <si>
    <t>7ª Edição da Série Justiça Pesquisa (20% de 3 pesquisas)</t>
  </si>
  <si>
    <t>10975/2023</t>
  </si>
  <si>
    <t>01982/2024</t>
  </si>
  <si>
    <t>Confecção e emolduramento de quadros contendo impressão fine-art de fotografias</t>
  </si>
  <si>
    <t>A aquisição do objeto em questão justifica-se em razão das adequações realizadas nos edifícios sob responsabilidade do Conselho Nacional de Justiça e da necessidade de composição dos leiautes projetados para os gabinetes e demais ambientes internos deste CNJ. Cabe citar que tal demanda por quadros decorativos é recorrente, principalmente por titulares dos gabinetes ou seus assessores. Ainda, pelo fato de serem quadros com fotografias fornecidas pela SCS, soma-se a possibilidade de dar visibilidade do papel institucional do Conselho.</t>
  </si>
  <si>
    <t>CATSER - 5452</t>
  </si>
  <si>
    <t>01828/2024</t>
  </si>
  <si>
    <t>Registro de preços de televisores e suportes para tais aparelhos</t>
  </si>
  <si>
    <t>02210/2024</t>
  </si>
  <si>
    <t>CATMAT - 12609</t>
  </si>
  <si>
    <t>12762/2023</t>
  </si>
  <si>
    <t>A aquisição visa atender o público interno e visitantes, com atenção especial para as sessão plenárias e reuniões realizadas pelas autoridades do Conselho. Após a extinção uso de garrafas com água envasada, com gás e sem gás de 500 ml nas dependências do Conselho, conforme Despacho SG 1686381, a demanda  de garrafas e jarros aumentou. Além disso, com a retirada das garrafinhas, o consumo de guardanapos aumentou para evitar a aglomeração de água na mesa pelos copos de vidro, tornando necessário a aquisição de porta-copos de silicone.</t>
  </si>
  <si>
    <t>Aquisição de garrafas térmicas, jarras de vidro com tampa, porta-copos de silicone e jarros de inox com tampa, por meio de Dispensa de Licitação, a fim de atender as demandas das reuniões e sessão plenária do Conselho Nacional de Justiça.</t>
  </si>
  <si>
    <t>CATMAT - CLASSE 8125</t>
  </si>
  <si>
    <t>Contratação de empresa especializada na prestação de serviços de análise da qualidade da água</t>
  </si>
  <si>
    <t>A Portaria nº 2.914 de 12 de dezembro de 2011 do Ministério da Saúde dispõe sobre os procedimentos de controle e de vigilância da qualidade da água para o consumo humano e seu padrão de potabilidade. Para análise da qualidade da agua é realizado um exame bacteriológico, onde são analisados os coliformes termotolerantes e as bactérias heterotróficas além da análise físico-química da água que avalia elementos tais como: aspecto, alcalinidade total, gosto, cloretos, PH, cloro residual livre, cor, turbidez, fluoretos, odor, amônia, sulfato.</t>
  </si>
  <si>
    <t>02514/2024</t>
  </si>
  <si>
    <t>CATSER - 20737</t>
  </si>
  <si>
    <t>03141/2024</t>
  </si>
  <si>
    <t>13414/2023</t>
  </si>
  <si>
    <t>08924/2022</t>
  </si>
  <si>
    <t>Renovação de subscrição de licenças do software CISCO WEBEX para a realização de videoconferências via Interne</t>
  </si>
  <si>
    <t>a realização, de maneira virtual, as sessões plenárias, audiências e eventos institucionais; o uso de ferramentas administrativas para o gerenciamento de eventos virtuais;
a realização de eventos virtuais com cerca de 1000 usuários, sem perda de eficiência.</t>
  </si>
  <si>
    <t>03070/2024</t>
  </si>
  <si>
    <t>n/d</t>
  </si>
  <si>
    <t>Renovação da garantia técnica e Expansão da solução de hiperconvergência do CNJ.</t>
  </si>
  <si>
    <t>Existe risco de descontinuidade da garantia técnica dos equipamentos adquiridos nos Contratos n. 44/2019 e 45/2019 caso a nova contratação não tenha sido concluída até dia 24 de dezembro de 2024, fim da vigência da garantia técnica dos equipamentos adquiridos.
 A expansão deve contemplar a aquisição de todo o hardware necessário, módulos de infraestrutura computacional hiperconvergente e equipamentos de redes e cabeamento para instalação, e software para licenciamento das soluções adquiridas.</t>
  </si>
  <si>
    <t>Contratação de empresa especializada na prestação de serviço de internet móvel, de forma continuada, nas modalidades Local e Longa Distância Nacional (LDN), com roaming, com o fornecimento de modens de 04 (quatro) portas gigabit (10/100/1000), 4G LTE Wifi Router com taxa de 300 Mbps e respectivos chips SIMCard.</t>
  </si>
  <si>
    <t>É necessidade do CNJ a disponibilização, para usuários deste Conselho em eventos internos, de internet sem fio em ambientes sem outras formas de acesso.</t>
  </si>
  <si>
    <t>03081/2024</t>
  </si>
  <si>
    <t>3.3.90.39.12</t>
  </si>
  <si>
    <t>Aquisição de um Kit com o Compressor e Calibrador de Pneus.</t>
  </si>
  <si>
    <t>Com a frota com 41 veículos no Órgão é necessário a aquisição do calibrador de pneus para agilizar e controlar melhor a calibragem dos pneus e manter a segurança veicular em dia, além de que as viaturas menos utilizadas com o passar do tempo os pneus esvaziam. Importante ressaltar que, além da manutenção da calibragem dos veículos deste Conselho, o equipamento ficará disponível para uso de todos os servidores e colaboradores do Órgão.</t>
  </si>
  <si>
    <t>03411/2024</t>
  </si>
  <si>
    <t>CATMAT - 5502</t>
  </si>
  <si>
    <t>00121/2024</t>
  </si>
  <si>
    <t>Contrato n. 14/2024</t>
  </si>
  <si>
    <t>NE 219/2024</t>
  </si>
  <si>
    <t>NE 223/2024; NE 224/2024</t>
  </si>
  <si>
    <t>Contrato n. 11/2024</t>
  </si>
  <si>
    <t>Contrato n. 15/2024</t>
  </si>
  <si>
    <t>00664/2024</t>
  </si>
  <si>
    <t>3.3.90.39.41</t>
  </si>
  <si>
    <t>3.3.90.30.31</t>
  </si>
  <si>
    <t>4.4.90.52.44</t>
  </si>
  <si>
    <t>13197/2018 ; 08029/2023</t>
  </si>
  <si>
    <t>Contrato n. 02/2020  ; Contrato 5/2024</t>
  </si>
  <si>
    <t>03363/2024</t>
  </si>
  <si>
    <t>04233/2024</t>
  </si>
  <si>
    <t>00831/2024</t>
  </si>
  <si>
    <t>01426/2024</t>
  </si>
  <si>
    <t>ARP 05/2023</t>
  </si>
  <si>
    <t>Fornecimento de gêneros alimentícios, serviço de coquetel e serviço de coffee break</t>
  </si>
  <si>
    <t>04784/2024</t>
  </si>
  <si>
    <t>Aquisição de 12 (doze) veículos modelo sedan e e 1 (um) veículo modelo van/minibus.</t>
  </si>
  <si>
    <t>O CNJ teve um aumento considerável no número de magistrado em seu quadro funcional. Nesse sentido, nos dias de Sessão ou eventos está sendo comum a formação  de filas de magistrados para aguardar os retorno dos veículos ou até mesmo a utilização de veículos administrativos. Além disso, a frota do CNJ está ficando ultrapassada, com veículos que partem do ano de fabricação a partir do ano de 2008 até o ano de  2019,  necessitando cada vez mais de manutenção o que eleva e muito os gastos públicos. Desta forma, estimamos que a aquisição de 12 (doze) veículos modelo sedan e 1 (um) veículo modelo van/minibus para atender bem às demandas atuais e futuras.</t>
  </si>
  <si>
    <t>05057/2024</t>
  </si>
  <si>
    <t>CATMAT - 648</t>
  </si>
  <si>
    <t>Aquisição de Mangueiras de incêndio tipo 2</t>
  </si>
  <si>
    <t>CATMAT - 4210</t>
  </si>
  <si>
    <t>04269/2024</t>
  </si>
  <si>
    <t>04394/2024</t>
  </si>
  <si>
    <t>A contratação justifica-se pela necessidade de substituição de algumas persianas que se encontram danificadas em decorrência da deterioração natural pelo uso, no edifício do CNJ, na SEPN 514, além de persianas que estão faltando em alguns ambientes do Ed. Sede. Cabe destacar que algumas destas peças encontram-se dispostas em locais de uso comum, como o refeitório (no edifício da 514) e em halls de elevadores (no Ed. Sede), sendo importante, portanto, sua substituição, a fim de contribuir para a preservação da imagem deste Conselho, especialmente perante o público externo. Ademais, as outras peças encontram-se em ambientes internos de trabalho, e irão proporcionar maior conforto e bem estar aos seus usuários.</t>
  </si>
  <si>
    <t>CATSER - 25321</t>
  </si>
  <si>
    <t>Aquisição de microcomputadores para o Conselho Nacional de Justiça</t>
  </si>
  <si>
    <t>Necessidade de disponibilização de computadores desktops mais modernos, principalmente considerando que as atividades desenvolvidas neste conselho possuem forte dependência tecnológica. Assim, a presente proposta de aquisição demonstra-se importante para a melhoria da mobilidade e manutenção da continuidade dos trabalhos executados pelos usuários do CNJ, impactando positivamente nos resultados a serem alcançados.</t>
  </si>
  <si>
    <t>13314/2023</t>
  </si>
  <si>
    <t>Fornecimento e instalação de persianas para ambos os edifícios do CNJ</t>
  </si>
  <si>
    <t>Contrato n. 12/2024</t>
  </si>
  <si>
    <t>02501/2024</t>
  </si>
  <si>
    <t>05229/2024</t>
  </si>
  <si>
    <t>03247/2024</t>
  </si>
  <si>
    <t>Contrato n. 18/2024</t>
  </si>
  <si>
    <t>Contrato n. 19/2024</t>
  </si>
  <si>
    <t>NE 264/2024</t>
  </si>
  <si>
    <t>Contrato n. 17/2024</t>
  </si>
  <si>
    <t>Contrato 10/2024</t>
  </si>
  <si>
    <t>Renovação da garantia técnica, expansão e melhoria da rede de usuários do CNJ</t>
  </si>
  <si>
    <t>risco de descontinuidade da garantia técnica dos equipamentos adquiridos no Contrato n. 50/2019 caso a nova contratação não tenha sido concluída até dezembro de 2024, fim da vigência da garantia técnica dos equipamentos adquiridos.</t>
  </si>
  <si>
    <t>03380/2024</t>
  </si>
  <si>
    <t>Contratação de subscrição de licenças M365 Copilot Sub Add-on</t>
  </si>
  <si>
    <t xml:space="preserve"> a necessidade de economizar tempo na criação de documentos, planilhas e e-mails, permitindo que se concentrem em tarefas mais estratégicas. Com o auxílio de IA nas atividades laborais relacionadas com as ferramentas da Microsoft, a qualidade dos documentos melhora e os erros são reduzidos, além da curva de aprendizado ser reduzida. Esses benefícios contribuem para a otimização dos processos internos e a maximização da produtividade no CNJ.</t>
  </si>
  <si>
    <t>05724/2024</t>
  </si>
  <si>
    <t>TED - Programa de berçário</t>
  </si>
  <si>
    <t>09283/2022</t>
  </si>
  <si>
    <t>09399/2023</t>
  </si>
  <si>
    <t>040128 - SAD</t>
  </si>
  <si>
    <t>040135 - SESER</t>
  </si>
  <si>
    <t xml:space="preserve">040134 - SEEMP </t>
  </si>
  <si>
    <t>040129 - SEMAP</t>
  </si>
  <si>
    <t>040126 - SEPAD</t>
  </si>
  <si>
    <t>040106 - SCE</t>
  </si>
  <si>
    <t>040137 - SGP</t>
  </si>
  <si>
    <t>040133 - SEART</t>
  </si>
  <si>
    <t>040130 - SECOM</t>
  </si>
  <si>
    <t xml:space="preserve">040136 - SETRA </t>
  </si>
  <si>
    <t xml:space="preserve">040105 - SESIN </t>
  </si>
  <si>
    <t>NE 275/2024</t>
  </si>
  <si>
    <t>Contrato n. 16/2024</t>
  </si>
  <si>
    <t>06496/2024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</si>
</sst>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20"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b/>
      <sz val="16"/>
      <color theme="0"/>
      <name val="Palatino Linotype"/>
      <family val="1"/>
    </font>
    <font>
      <b/>
      <sz val="10"/>
      <color theme="1"/>
      <name val="Arial"/>
      <family val="2"/>
    </font>
    <font>
      <sz val="8"/>
      <name val="Calibri"/>
      <family val="2"/>
      <scheme val="minor"/>
    </font>
    <font>
      <sz val="11"/>
      <color theme="1"/>
      <name val="Arial"/>
      <family val="2"/>
    </font>
    <font>
      <sz val="12"/>
      <name val="Arial"/>
      <family val="2"/>
    </font>
    <font>
      <b/>
      <sz val="12"/>
      <name val="Arial"/>
      <family val="2"/>
    </font>
    <font>
      <i/>
      <sz val="12"/>
      <name val="Arial"/>
      <family val="2"/>
    </font>
    <font>
      <b/>
      <sz val="14"/>
      <name val="Arial"/>
      <family val="2"/>
    </font>
    <font>
      <sz val="14"/>
      <name val="Arial"/>
      <family val="2"/>
    </font>
    <font>
      <sz val="12"/>
      <name val="Arial"/>
      <family val="2"/>
    </font>
    <font>
      <sz val="11"/>
      <color theme="1"/>
      <name val="Arial"/>
      <family val="2"/>
    </font>
    <font>
      <i/>
      <sz val="12"/>
      <name val="Arial"/>
      <family val="2"/>
    </font>
    <font>
      <b/>
      <sz val="12"/>
      <name val="Arial"/>
      <family val="2"/>
    </font>
    <font>
      <sz val="10"/>
      <color theme="1"/>
      <name val="Arial"/>
      <family val="2"/>
    </font>
    <font>
      <sz val="10"/>
      <color theme="1"/>
      <name val="Arial"/>
    </font>
  </fonts>
  <fills count="21">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theme="0" tint="-0.14999847407452621"/>
      </patternFill>
    </fill>
    <fill>
      <patternFill patternType="solid">
        <fgColor theme="9" tint="0.59999389629810485"/>
        <bgColor theme="0" tint="-0.14999847407452621"/>
      </patternFill>
    </fill>
    <fill>
      <patternFill patternType="solid">
        <fgColor theme="5" tint="0.59999389629810485"/>
        <bgColor theme="0" tint="-0.14999847407452621"/>
      </patternFill>
    </fill>
    <fill>
      <patternFill patternType="solid">
        <fgColor theme="6" tint="0.79998168889431442"/>
        <bgColor theme="6" tint="0.79998168889431442"/>
      </patternFill>
    </fill>
    <fill>
      <patternFill patternType="solid">
        <fgColor theme="5" tint="0.59999389629810485"/>
        <bgColor theme="6" tint="0.79998168889431442"/>
      </patternFill>
    </fill>
    <fill>
      <patternFill patternType="solid">
        <fgColor theme="9" tint="0.59999389629810485"/>
        <bgColor theme="6" tint="0.79998168889431442"/>
      </patternFill>
    </fill>
    <fill>
      <patternFill patternType="solid">
        <fgColor theme="7" tint="0.59999389629810485"/>
        <bgColor theme="6" tint="0.79998168889431442"/>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theme="1"/>
      </top>
      <bottom style="thin">
        <color indexed="64"/>
      </bottom>
      <diagonal/>
    </border>
    <border>
      <left style="medium">
        <color indexed="64"/>
      </left>
      <right style="thin">
        <color indexed="64"/>
      </right>
      <top style="thin">
        <color theme="1"/>
      </top>
      <bottom/>
      <diagonal/>
    </border>
    <border>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58">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44" fontId="3" fillId="3" borderId="1" xfId="1" applyFont="1" applyFill="1" applyBorder="1" applyAlignment="1">
      <alignment horizontal="center" vertical="center"/>
    </xf>
    <xf numFmtId="1"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44" fontId="3" fillId="4" borderId="1" xfId="1" applyFont="1" applyFill="1" applyBorder="1" applyAlignment="1">
      <alignment horizontal="center" vertical="center"/>
    </xf>
    <xf numFmtId="1" fontId="3" fillId="4" borderId="1" xfId="0" applyNumberFormat="1" applyFont="1" applyFill="1" applyBorder="1" applyAlignment="1">
      <alignment horizontal="center" vertical="center"/>
    </xf>
    <xf numFmtId="14" fontId="3" fillId="3" borderId="1" xfId="0" quotePrefix="1" applyNumberFormat="1" applyFont="1" applyFill="1" applyBorder="1" applyAlignment="1">
      <alignment horizontal="center" vertical="center"/>
    </xf>
    <xf numFmtId="14" fontId="3" fillId="4" borderId="1" xfId="0" quotePrefix="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3" borderId="1" xfId="0" applyFont="1" applyFill="1" applyBorder="1" applyAlignment="1">
      <alignment horizontal="left" vertical="center"/>
    </xf>
    <xf numFmtId="0" fontId="0" fillId="6" borderId="0" xfId="0" applyFill="1"/>
    <xf numFmtId="0" fontId="0" fillId="6" borderId="0" xfId="0" applyFill="1" applyAlignment="1">
      <alignment horizontal="left"/>
    </xf>
    <xf numFmtId="0" fontId="3" fillId="6" borderId="0" xfId="0" applyFont="1" applyFill="1"/>
    <xf numFmtId="0" fontId="3" fillId="6" borderId="0" xfId="0" applyFont="1" applyFill="1" applyAlignment="1">
      <alignment horizontal="left"/>
    </xf>
    <xf numFmtId="14" fontId="3" fillId="6" borderId="0" xfId="0" applyNumberFormat="1" applyFont="1" applyFill="1"/>
    <xf numFmtId="0" fontId="0" fillId="0" borderId="0" xfId="0" applyAlignment="1">
      <alignment wrapText="1"/>
    </xf>
    <xf numFmtId="14" fontId="0" fillId="0" borderId="0" xfId="0" applyNumberFormat="1"/>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5" fillId="5" borderId="2" xfId="0" applyFont="1" applyFill="1" applyBorder="1" applyAlignment="1">
      <alignment horizontal="centerContinuous" vertical="center"/>
    </xf>
    <xf numFmtId="0" fontId="5" fillId="5" borderId="3" xfId="0" applyFont="1" applyFill="1" applyBorder="1" applyAlignment="1">
      <alignment horizontal="centerContinuous" vertical="center"/>
    </xf>
    <xf numFmtId="0" fontId="5" fillId="5" borderId="16" xfId="0" applyFont="1" applyFill="1" applyBorder="1" applyAlignment="1">
      <alignment horizontal="centerContinuous" vertical="center"/>
    </xf>
    <xf numFmtId="0" fontId="2" fillId="2" borderId="11" xfId="0" applyFont="1" applyFill="1" applyBorder="1" applyAlignment="1">
      <alignment horizontal="center" vertical="center" wrapText="1"/>
    </xf>
    <xf numFmtId="44" fontId="6" fillId="6" borderId="8" xfId="1" applyFont="1" applyFill="1" applyBorder="1" applyAlignment="1"/>
    <xf numFmtId="0" fontId="0" fillId="8" borderId="0" xfId="0" applyFill="1"/>
    <xf numFmtId="0" fontId="0" fillId="9" borderId="0" xfId="0" applyFill="1"/>
    <xf numFmtId="0" fontId="0" fillId="10" borderId="0" xfId="0" applyFill="1"/>
    <xf numFmtId="0" fontId="3" fillId="11" borderId="1" xfId="0" applyFont="1" applyFill="1" applyBorder="1" applyAlignment="1">
      <alignment horizontal="center" vertical="center"/>
    </xf>
    <xf numFmtId="0" fontId="3" fillId="11" borderId="1" xfId="0" quotePrefix="1" applyFont="1" applyFill="1" applyBorder="1" applyAlignment="1">
      <alignment horizontal="center" vertical="center"/>
    </xf>
    <xf numFmtId="1" fontId="3" fillId="11" borderId="1" xfId="0" applyNumberFormat="1" applyFont="1" applyFill="1" applyBorder="1" applyAlignment="1">
      <alignment horizontal="center" vertical="center"/>
    </xf>
    <xf numFmtId="0" fontId="3" fillId="11" borderId="1" xfId="0" applyFont="1" applyFill="1" applyBorder="1" applyAlignment="1">
      <alignment horizontal="left" vertical="center"/>
    </xf>
    <xf numFmtId="44" fontId="3" fillId="11" borderId="1" xfId="1" applyFont="1" applyFill="1" applyBorder="1" applyAlignment="1">
      <alignment horizontal="center" vertical="center"/>
    </xf>
    <xf numFmtId="14" fontId="3" fillId="11" borderId="1" xfId="0" quotePrefix="1" applyNumberFormat="1" applyFont="1" applyFill="1" applyBorder="1" applyAlignment="1">
      <alignment horizontal="center" vertical="center"/>
    </xf>
    <xf numFmtId="0" fontId="3" fillId="12" borderId="1" xfId="0" applyFont="1" applyFill="1" applyBorder="1" applyAlignment="1">
      <alignment horizontal="center" vertical="center"/>
    </xf>
    <xf numFmtId="0" fontId="3" fillId="12" borderId="1" xfId="0" quotePrefix="1" applyFont="1" applyFill="1" applyBorder="1" applyAlignment="1">
      <alignment horizontal="center" vertical="center"/>
    </xf>
    <xf numFmtId="1" fontId="3" fillId="12" borderId="1" xfId="0" applyNumberFormat="1" applyFont="1" applyFill="1" applyBorder="1" applyAlignment="1">
      <alignment horizontal="center" vertical="center"/>
    </xf>
    <xf numFmtId="0" fontId="3" fillId="12" borderId="1" xfId="0" applyFont="1" applyFill="1" applyBorder="1" applyAlignment="1">
      <alignment horizontal="left" vertical="center"/>
    </xf>
    <xf numFmtId="44" fontId="3" fillId="12" borderId="1" xfId="1" applyFont="1" applyFill="1" applyBorder="1" applyAlignment="1">
      <alignment horizontal="center" vertical="center"/>
    </xf>
    <xf numFmtId="14" fontId="3" fillId="12" borderId="1" xfId="0" quotePrefix="1" applyNumberFormat="1" applyFont="1" applyFill="1" applyBorder="1" applyAlignment="1">
      <alignment horizontal="center" vertical="center"/>
    </xf>
    <xf numFmtId="44" fontId="3" fillId="6" borderId="0" xfId="0" applyNumberFormat="1" applyFont="1" applyFill="1"/>
    <xf numFmtId="44" fontId="3" fillId="4" borderId="1" xfId="1" applyFont="1" applyFill="1" applyBorder="1" applyAlignment="1">
      <alignment horizontal="left" vertical="center"/>
    </xf>
    <xf numFmtId="44" fontId="3" fillId="3" borderId="1" xfId="1" applyFont="1" applyFill="1" applyBorder="1" applyAlignment="1">
      <alignment horizontal="left" vertical="center"/>
    </xf>
    <xf numFmtId="0" fontId="4" fillId="2" borderId="2" xfId="0" applyFont="1" applyFill="1" applyBorder="1" applyAlignment="1">
      <alignment horizontal="centerContinuous" vertical="center"/>
    </xf>
    <xf numFmtId="0" fontId="4" fillId="2" borderId="8" xfId="0" applyFont="1" applyFill="1" applyBorder="1" applyAlignment="1">
      <alignment horizontal="centerContinuous" vertical="center"/>
    </xf>
    <xf numFmtId="0" fontId="8" fillId="6" borderId="0" xfId="0" applyFont="1" applyFill="1"/>
    <xf numFmtId="0" fontId="8" fillId="0" borderId="0" xfId="0" applyFont="1"/>
    <xf numFmtId="44" fontId="9" fillId="7" borderId="8" xfId="1" applyFont="1" applyFill="1" applyBorder="1" applyAlignment="1">
      <alignment horizontal="right" vertical="center"/>
    </xf>
    <xf numFmtId="49" fontId="10" fillId="4" borderId="1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49" fontId="10" fillId="4" borderId="15" xfId="0" applyNumberFormat="1" applyFont="1" applyFill="1" applyBorder="1" applyAlignment="1">
      <alignment horizontal="center" vertical="center" wrapText="1"/>
    </xf>
    <xf numFmtId="49" fontId="10" fillId="4" borderId="17" xfId="0" applyNumberFormat="1" applyFont="1" applyFill="1" applyBorder="1" applyAlignment="1">
      <alignment horizontal="center" vertical="center" wrapText="1"/>
    </xf>
    <xf numFmtId="164" fontId="10" fillId="4" borderId="18" xfId="2" applyNumberFormat="1" applyFont="1" applyFill="1" applyBorder="1" applyAlignment="1">
      <alignment horizontal="center" vertical="center" wrapText="1"/>
    </xf>
    <xf numFmtId="164" fontId="10" fillId="4" borderId="19" xfId="2" applyNumberFormat="1" applyFont="1" applyFill="1" applyBorder="1" applyAlignment="1">
      <alignment horizontal="center" vertical="center" wrapText="1"/>
    </xf>
    <xf numFmtId="164" fontId="10" fillId="4" borderId="20" xfId="2" applyNumberFormat="1" applyFont="1" applyFill="1" applyBorder="1" applyAlignment="1">
      <alignment horizontal="center" vertical="center" wrapText="1"/>
    </xf>
    <xf numFmtId="165" fontId="9" fillId="7" borderId="11" xfId="1" applyNumberFormat="1" applyFont="1" applyFill="1" applyBorder="1" applyAlignment="1">
      <alignment horizontal="right" vertical="center"/>
    </xf>
    <xf numFmtId="165" fontId="9" fillId="7" borderId="12" xfId="1" applyNumberFormat="1" applyFont="1" applyFill="1" applyBorder="1" applyAlignment="1">
      <alignment horizontal="right" vertical="center"/>
    </xf>
    <xf numFmtId="49" fontId="10" fillId="4" borderId="4" xfId="0" applyNumberFormat="1" applyFont="1" applyFill="1" applyBorder="1" applyAlignment="1">
      <alignment horizontal="center" vertical="center"/>
    </xf>
    <xf numFmtId="164" fontId="12" fillId="4" borderId="1" xfId="2" applyNumberFormat="1" applyFont="1" applyFill="1" applyBorder="1" applyAlignment="1">
      <alignment vertical="center"/>
    </xf>
    <xf numFmtId="164" fontId="12" fillId="4" borderId="6" xfId="2" applyNumberFormat="1" applyFont="1" applyFill="1" applyBorder="1" applyAlignment="1">
      <alignment vertical="center"/>
    </xf>
    <xf numFmtId="165" fontId="9" fillId="7" borderId="1" xfId="1" applyNumberFormat="1" applyFont="1" applyFill="1" applyBorder="1" applyAlignment="1">
      <alignment horizontal="right" vertical="center"/>
    </xf>
    <xf numFmtId="165" fontId="9" fillId="7" borderId="6" xfId="1" applyNumberFormat="1" applyFont="1" applyFill="1" applyBorder="1" applyAlignment="1">
      <alignment horizontal="right" vertical="center"/>
    </xf>
    <xf numFmtId="49" fontId="10" fillId="0" borderId="4" xfId="0" applyNumberFormat="1" applyFont="1" applyBorder="1" applyAlignment="1">
      <alignment horizontal="justify" vertical="center"/>
    </xf>
    <xf numFmtId="164" fontId="12" fillId="0" borderId="1" xfId="2" applyNumberFormat="1" applyFont="1" applyFill="1" applyBorder="1" applyAlignment="1">
      <alignment vertical="center"/>
    </xf>
    <xf numFmtId="164" fontId="12" fillId="0" borderId="6" xfId="2" applyNumberFormat="1" applyFont="1" applyFill="1" applyBorder="1" applyAlignment="1">
      <alignment vertical="center"/>
    </xf>
    <xf numFmtId="49" fontId="11" fillId="0" borderId="4" xfId="0" applyNumberFormat="1" applyFont="1" applyBorder="1" applyAlignment="1">
      <alignment horizontal="justify" vertical="center"/>
    </xf>
    <xf numFmtId="164" fontId="13" fillId="7" borderId="1" xfId="2" applyNumberFormat="1" applyFont="1" applyFill="1" applyBorder="1" applyAlignment="1">
      <alignment vertical="center"/>
    </xf>
    <xf numFmtId="164" fontId="13" fillId="7" borderId="6" xfId="2" applyNumberFormat="1" applyFont="1" applyFill="1" applyBorder="1" applyAlignment="1">
      <alignment vertical="center"/>
    </xf>
    <xf numFmtId="44" fontId="9" fillId="4" borderId="9" xfId="1" applyFont="1" applyFill="1" applyBorder="1" applyAlignment="1">
      <alignment horizontal="right" vertical="center"/>
    </xf>
    <xf numFmtId="44" fontId="9" fillId="4" borderId="7" xfId="1" applyFont="1" applyFill="1" applyBorder="1" applyAlignment="1">
      <alignment horizontal="right" vertical="center"/>
    </xf>
    <xf numFmtId="164" fontId="12" fillId="7" borderId="1" xfId="2" applyNumberFormat="1" applyFont="1" applyFill="1" applyBorder="1" applyAlignment="1">
      <alignment vertical="center"/>
    </xf>
    <xf numFmtId="164" fontId="12" fillId="7" borderId="6" xfId="2" applyNumberFormat="1" applyFont="1" applyFill="1" applyBorder="1" applyAlignment="1">
      <alignment vertical="center"/>
    </xf>
    <xf numFmtId="49" fontId="11" fillId="0" borderId="5" xfId="0" applyNumberFormat="1" applyFont="1" applyBorder="1" applyAlignment="1">
      <alignment horizontal="justify" vertical="center"/>
    </xf>
    <xf numFmtId="164" fontId="13" fillId="7" borderId="9" xfId="2" applyNumberFormat="1" applyFont="1" applyFill="1" applyBorder="1" applyAlignment="1">
      <alignment vertical="center"/>
    </xf>
    <xf numFmtId="164" fontId="13" fillId="7" borderId="7" xfId="2" applyNumberFormat="1" applyFont="1" applyFill="1" applyBorder="1" applyAlignment="1">
      <alignment vertical="center"/>
    </xf>
    <xf numFmtId="0" fontId="3" fillId="6" borderId="1" xfId="0" applyFont="1" applyFill="1" applyBorder="1" applyAlignment="1">
      <alignment horizontal="center" vertical="center"/>
    </xf>
    <xf numFmtId="0" fontId="3" fillId="6" borderId="1" xfId="0" quotePrefix="1" applyFont="1" applyFill="1" applyBorder="1" applyAlignment="1">
      <alignment horizontal="center" vertical="center"/>
    </xf>
    <xf numFmtId="1" fontId="3" fillId="6" borderId="1" xfId="0" applyNumberFormat="1" applyFont="1" applyFill="1" applyBorder="1" applyAlignment="1">
      <alignment horizontal="center" vertical="center"/>
    </xf>
    <xf numFmtId="0" fontId="3" fillId="6" borderId="1" xfId="0" applyFont="1" applyFill="1" applyBorder="1" applyAlignment="1">
      <alignment horizontal="left" vertical="center"/>
    </xf>
    <xf numFmtId="14" fontId="3" fillId="6" borderId="1" xfId="0" quotePrefix="1" applyNumberFormat="1" applyFont="1" applyFill="1" applyBorder="1" applyAlignment="1">
      <alignment horizontal="center" vertical="center"/>
    </xf>
    <xf numFmtId="0" fontId="15" fillId="6" borderId="0" xfId="0" applyFont="1" applyFill="1"/>
    <xf numFmtId="49" fontId="16" fillId="0" borderId="21" xfId="0" applyNumberFormat="1" applyFont="1" applyBorder="1" applyAlignment="1">
      <alignment horizontal="center" vertical="center"/>
    </xf>
    <xf numFmtId="49" fontId="16" fillId="0" borderId="22" xfId="0" applyNumberFormat="1" applyFont="1" applyBorder="1" applyAlignment="1">
      <alignment horizontal="center" vertical="center"/>
    </xf>
    <xf numFmtId="165" fontId="9" fillId="7" borderId="23" xfId="1" applyNumberFormat="1" applyFont="1" applyFill="1" applyBorder="1" applyAlignment="1">
      <alignment horizontal="right" vertical="center"/>
    </xf>
    <xf numFmtId="164" fontId="10" fillId="4" borderId="14" xfId="2" applyNumberFormat="1" applyFont="1" applyFill="1" applyBorder="1" applyAlignment="1">
      <alignment horizontal="center" vertical="center" wrapText="1"/>
    </xf>
    <xf numFmtId="164" fontId="10" fillId="4" borderId="15" xfId="2" applyNumberFormat="1" applyFont="1" applyFill="1" applyBorder="1" applyAlignment="1">
      <alignment horizontal="center" vertical="center" wrapText="1"/>
    </xf>
    <xf numFmtId="49" fontId="10" fillId="4" borderId="13" xfId="0" applyNumberFormat="1" applyFont="1" applyFill="1" applyBorder="1" applyAlignment="1">
      <alignment horizontal="centerContinuous" vertical="center" wrapText="1"/>
    </xf>
    <xf numFmtId="49" fontId="11" fillId="0" borderId="10" xfId="0" applyNumberFormat="1" applyFont="1" applyBorder="1" applyAlignment="1">
      <alignment horizontal="centerContinuous" vertical="center"/>
    </xf>
    <xf numFmtId="49" fontId="11" fillId="0" borderId="21" xfId="0" applyNumberFormat="1" applyFont="1" applyBorder="1" applyAlignment="1">
      <alignment horizontal="center" vertical="center"/>
    </xf>
    <xf numFmtId="165" fontId="14" fillId="7" borderId="11" xfId="1" applyNumberFormat="1" applyFont="1" applyFill="1" applyBorder="1" applyAlignment="1">
      <alignment horizontal="right" vertical="center"/>
    </xf>
    <xf numFmtId="49" fontId="17" fillId="4" borderId="13" xfId="0" applyNumberFormat="1" applyFont="1" applyFill="1" applyBorder="1" applyAlignment="1">
      <alignment horizontal="centerContinuous" vertical="center" wrapText="1"/>
    </xf>
    <xf numFmtId="49" fontId="16" fillId="0" borderId="10" xfId="0" applyNumberFormat="1" applyFont="1" applyBorder="1" applyAlignment="1">
      <alignment horizontal="centerContinuous" vertical="center"/>
    </xf>
    <xf numFmtId="0" fontId="0" fillId="6" borderId="0" xfId="0" quotePrefix="1" applyFill="1"/>
    <xf numFmtId="44" fontId="18" fillId="4" borderId="1" xfId="1" applyFont="1" applyFill="1" applyBorder="1" applyAlignment="1">
      <alignment horizontal="center" vertical="center"/>
    </xf>
    <xf numFmtId="0" fontId="18" fillId="4" borderId="1" xfId="0" applyFont="1" applyFill="1" applyBorder="1" applyAlignment="1">
      <alignment horizontal="center" vertical="center"/>
    </xf>
    <xf numFmtId="0" fontId="18" fillId="4" borderId="1" xfId="0" quotePrefix="1" applyFont="1" applyFill="1" applyBorder="1" applyAlignment="1">
      <alignment horizontal="center" vertical="center"/>
    </xf>
    <xf numFmtId="1" fontId="18" fillId="4" borderId="1" xfId="0" applyNumberFormat="1" applyFont="1" applyFill="1" applyBorder="1" applyAlignment="1">
      <alignment horizontal="center" vertical="center"/>
    </xf>
    <xf numFmtId="0" fontId="18" fillId="4" borderId="1" xfId="0" applyFont="1" applyFill="1" applyBorder="1" applyAlignment="1">
      <alignment horizontal="left" vertical="center"/>
    </xf>
    <xf numFmtId="14" fontId="18" fillId="4" borderId="1" xfId="0" quotePrefix="1" applyNumberFormat="1" applyFont="1" applyFill="1" applyBorder="1" applyAlignment="1">
      <alignment horizontal="center" vertical="center"/>
    </xf>
    <xf numFmtId="0" fontId="9" fillId="7" borderId="1" xfId="2" applyNumberFormat="1" applyFont="1" applyFill="1" applyBorder="1" applyAlignment="1">
      <alignment horizontal="center" vertical="center"/>
    </xf>
    <xf numFmtId="44" fontId="3" fillId="13" borderId="1" xfId="1" applyFont="1" applyFill="1" applyBorder="1" applyAlignment="1">
      <alignment horizontal="center" vertical="center"/>
    </xf>
    <xf numFmtId="44" fontId="19" fillId="3" borderId="1" xfId="1" applyFont="1" applyFill="1" applyBorder="1" applyAlignment="1">
      <alignment horizontal="left" vertical="center"/>
    </xf>
    <xf numFmtId="44" fontId="19" fillId="4" borderId="1" xfId="1" applyFont="1" applyFill="1" applyBorder="1" applyAlignment="1">
      <alignment horizontal="left" vertical="center"/>
    </xf>
    <xf numFmtId="44" fontId="19" fillId="10" borderId="1" xfId="1" applyFont="1" applyFill="1" applyBorder="1" applyAlignment="1">
      <alignment horizontal="center" vertical="center"/>
    </xf>
    <xf numFmtId="44" fontId="19" fillId="8" borderId="1" xfId="1" applyFont="1" applyFill="1" applyBorder="1" applyAlignment="1">
      <alignment horizontal="center" vertical="center"/>
    </xf>
    <xf numFmtId="0" fontId="19" fillId="3" borderId="1" xfId="0" applyFont="1" applyFill="1" applyBorder="1" applyAlignment="1">
      <alignment horizontal="center" vertical="center"/>
    </xf>
    <xf numFmtId="0" fontId="19" fillId="3" borderId="1" xfId="0" quotePrefix="1" applyFont="1" applyFill="1" applyBorder="1" applyAlignment="1">
      <alignment horizontal="center" vertical="center"/>
    </xf>
    <xf numFmtId="1" fontId="19" fillId="3" borderId="1" xfId="0" applyNumberFormat="1" applyFont="1" applyFill="1" applyBorder="1" applyAlignment="1">
      <alignment horizontal="center" vertical="center"/>
    </xf>
    <xf numFmtId="0" fontId="19" fillId="3" borderId="1" xfId="0" applyFont="1" applyFill="1" applyBorder="1" applyAlignment="1">
      <alignment horizontal="left" vertical="center"/>
    </xf>
    <xf numFmtId="14" fontId="19" fillId="3" borderId="1" xfId="0" applyNumberFormat="1" applyFont="1" applyFill="1" applyBorder="1" applyAlignment="1">
      <alignment horizontal="center" vertical="center"/>
    </xf>
    <xf numFmtId="0" fontId="19" fillId="4" borderId="1" xfId="0" applyFont="1" applyFill="1" applyBorder="1" applyAlignment="1">
      <alignment horizontal="center" vertical="center"/>
    </xf>
    <xf numFmtId="0" fontId="19" fillId="4" borderId="1" xfId="0" quotePrefix="1" applyFont="1" applyFill="1" applyBorder="1" applyAlignment="1">
      <alignment horizontal="center" vertical="center"/>
    </xf>
    <xf numFmtId="1" fontId="19" fillId="4" borderId="1" xfId="0" applyNumberFormat="1" applyFont="1" applyFill="1" applyBorder="1" applyAlignment="1">
      <alignment horizontal="center" vertical="center"/>
    </xf>
    <xf numFmtId="0" fontId="19" fillId="4" borderId="1" xfId="0" applyFont="1" applyFill="1" applyBorder="1" applyAlignment="1">
      <alignment horizontal="left" vertical="center"/>
    </xf>
    <xf numFmtId="14" fontId="19" fillId="4" borderId="1" xfId="0" applyNumberFormat="1" applyFont="1" applyFill="1" applyBorder="1" applyAlignment="1">
      <alignment horizontal="center" vertical="center"/>
    </xf>
    <xf numFmtId="0" fontId="3" fillId="9" borderId="1" xfId="0" applyFont="1" applyFill="1" applyBorder="1" applyAlignment="1">
      <alignment horizontal="center" vertical="center"/>
    </xf>
    <xf numFmtId="0" fontId="19" fillId="9" borderId="1" xfId="0" applyFont="1" applyFill="1" applyBorder="1" applyAlignment="1">
      <alignment horizontal="center" vertical="center"/>
    </xf>
    <xf numFmtId="44" fontId="3" fillId="8" borderId="1" xfId="1" applyFont="1" applyFill="1" applyBorder="1" applyAlignment="1">
      <alignment horizontal="left" vertical="center"/>
    </xf>
    <xf numFmtId="44" fontId="19" fillId="10" borderId="1" xfId="1" applyFont="1" applyFill="1" applyBorder="1" applyAlignment="1">
      <alignment horizontal="left" vertical="center"/>
    </xf>
    <xf numFmtId="44" fontId="19" fillId="8" borderId="1" xfId="1" applyFont="1" applyFill="1" applyBorder="1" applyAlignment="1">
      <alignment horizontal="left" vertical="center"/>
    </xf>
    <xf numFmtId="44" fontId="3" fillId="8" borderId="1" xfId="1" applyFont="1" applyFill="1" applyBorder="1" applyAlignment="1">
      <alignment horizontal="center" vertical="center"/>
    </xf>
    <xf numFmtId="14" fontId="3" fillId="3" borderId="1" xfId="0" applyNumberFormat="1" applyFont="1" applyFill="1" applyBorder="1" applyAlignment="1">
      <alignment horizontal="center" vertical="center"/>
    </xf>
    <xf numFmtId="44" fontId="3" fillId="10" borderId="1" xfId="1" applyFont="1" applyFill="1" applyBorder="1" applyAlignment="1">
      <alignment horizontal="center" vertical="center"/>
    </xf>
    <xf numFmtId="0" fontId="19" fillId="0" borderId="1" xfId="0" applyFont="1" applyBorder="1" applyAlignment="1">
      <alignment horizontal="center" vertical="center"/>
    </xf>
    <xf numFmtId="0" fontId="19" fillId="0" borderId="1" xfId="0" quotePrefix="1" applyFont="1" applyBorder="1" applyAlignment="1">
      <alignment horizontal="center" vertical="center"/>
    </xf>
    <xf numFmtId="1" fontId="19" fillId="0" borderId="1" xfId="0" applyNumberFormat="1" applyFont="1" applyBorder="1" applyAlignment="1">
      <alignment horizontal="center" vertical="center"/>
    </xf>
    <xf numFmtId="0" fontId="19" fillId="0" borderId="1" xfId="0" applyFont="1" applyBorder="1" applyAlignment="1">
      <alignment horizontal="left" vertical="center"/>
    </xf>
    <xf numFmtId="14" fontId="19" fillId="0" borderId="1" xfId="0" applyNumberFormat="1" applyFont="1" applyBorder="1" applyAlignment="1">
      <alignment horizontal="center" vertical="center"/>
    </xf>
    <xf numFmtId="0" fontId="19" fillId="14" borderId="1" xfId="0" quotePrefix="1" applyFont="1" applyFill="1" applyBorder="1" applyAlignment="1">
      <alignment horizontal="center" vertical="center"/>
    </xf>
    <xf numFmtId="44" fontId="19" fillId="15" borderId="1" xfId="1" applyFont="1" applyFill="1" applyBorder="1" applyAlignment="1">
      <alignment horizontal="center" vertical="center"/>
    </xf>
    <xf numFmtId="44" fontId="19" fillId="16" borderId="1" xfId="1" applyFont="1" applyFill="1" applyBorder="1" applyAlignment="1">
      <alignment horizontal="center" vertical="center"/>
    </xf>
    <xf numFmtId="0" fontId="19" fillId="12" borderId="1" xfId="0" applyFont="1" applyFill="1" applyBorder="1" applyAlignment="1">
      <alignment horizontal="center" vertical="center"/>
    </xf>
    <xf numFmtId="0" fontId="19" fillId="12" borderId="1" xfId="0" quotePrefix="1" applyFont="1" applyFill="1" applyBorder="1" applyAlignment="1">
      <alignment horizontal="center" vertical="center"/>
    </xf>
    <xf numFmtId="1" fontId="19" fillId="12" borderId="1" xfId="0" applyNumberFormat="1" applyFont="1" applyFill="1" applyBorder="1" applyAlignment="1">
      <alignment horizontal="center" vertical="center"/>
    </xf>
    <xf numFmtId="0" fontId="19" fillId="12" borderId="1" xfId="0" applyFont="1" applyFill="1" applyBorder="1" applyAlignment="1">
      <alignment horizontal="left" vertical="center"/>
    </xf>
    <xf numFmtId="44" fontId="19" fillId="13" borderId="1" xfId="1" applyFont="1" applyFill="1" applyBorder="1" applyAlignment="1">
      <alignment horizontal="center" vertical="center"/>
    </xf>
    <xf numFmtId="14" fontId="19" fillId="12" borderId="1" xfId="0" quotePrefix="1" applyNumberFormat="1" applyFont="1" applyFill="1" applyBorder="1" applyAlignment="1">
      <alignment horizontal="center" vertical="center"/>
    </xf>
    <xf numFmtId="14" fontId="3" fillId="9" borderId="1" xfId="0" applyNumberFormat="1" applyFont="1" applyFill="1" applyBorder="1" applyAlignment="1">
      <alignment horizontal="center" vertical="center"/>
    </xf>
    <xf numFmtId="0" fontId="3" fillId="9" borderId="1" xfId="0" quotePrefix="1" applyFont="1" applyFill="1" applyBorder="1" applyAlignment="1">
      <alignment horizontal="center" vertical="center"/>
    </xf>
    <xf numFmtId="14" fontId="3" fillId="9" borderId="1" xfId="0" quotePrefix="1" applyNumberFormat="1" applyFont="1" applyFill="1" applyBorder="1" applyAlignment="1">
      <alignment horizontal="center" vertical="center"/>
    </xf>
    <xf numFmtId="44" fontId="3" fillId="18" borderId="1" xfId="1" applyFont="1" applyFill="1" applyBorder="1" applyAlignment="1">
      <alignment horizontal="center" vertical="center"/>
    </xf>
    <xf numFmtId="44" fontId="3" fillId="19" borderId="1" xfId="1" applyFont="1" applyFill="1" applyBorder="1" applyAlignment="1">
      <alignment horizontal="center" vertical="center"/>
    </xf>
    <xf numFmtId="0" fontId="3" fillId="17" borderId="1" xfId="0" applyFont="1" applyFill="1" applyBorder="1" applyAlignment="1">
      <alignment horizontal="center" vertical="center"/>
    </xf>
    <xf numFmtId="0" fontId="3" fillId="17" borderId="1" xfId="0" quotePrefix="1" applyFont="1" applyFill="1" applyBorder="1" applyAlignment="1">
      <alignment horizontal="center" vertical="center"/>
    </xf>
    <xf numFmtId="1" fontId="3" fillId="17" borderId="1" xfId="0" applyNumberFormat="1" applyFont="1" applyFill="1" applyBorder="1" applyAlignment="1">
      <alignment horizontal="center" vertical="center"/>
    </xf>
    <xf numFmtId="0" fontId="3" fillId="17" borderId="1" xfId="0" applyFont="1" applyFill="1" applyBorder="1" applyAlignment="1">
      <alignment horizontal="left" vertical="center"/>
    </xf>
    <xf numFmtId="14" fontId="3" fillId="17"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quotePrefix="1" applyFont="1" applyBorder="1" applyAlignment="1">
      <alignment horizontal="center" vertical="center"/>
    </xf>
    <xf numFmtId="1" fontId="3" fillId="0" borderId="1" xfId="0" applyNumberFormat="1" applyFont="1" applyBorder="1" applyAlignment="1">
      <alignment horizontal="center" vertical="center"/>
    </xf>
    <xf numFmtId="0" fontId="3" fillId="0" borderId="1" xfId="0" applyFont="1" applyBorder="1" applyAlignment="1">
      <alignment horizontal="left" vertical="center"/>
    </xf>
    <xf numFmtId="14" fontId="3" fillId="0" borderId="1" xfId="0" applyNumberFormat="1" applyFont="1" applyBorder="1" applyAlignment="1">
      <alignment horizontal="center" vertical="center"/>
    </xf>
    <xf numFmtId="0" fontId="3" fillId="20" borderId="1" xfId="0" applyFont="1" applyFill="1" applyBorder="1" applyAlignment="1">
      <alignment horizontal="center" vertical="center"/>
    </xf>
    <xf numFmtId="14" fontId="19" fillId="4" borderId="1" xfId="0" quotePrefix="1" applyNumberFormat="1" applyFont="1" applyFill="1" applyBorder="1" applyAlignment="1">
      <alignment horizontal="center" vertical="center"/>
    </xf>
  </cellXfs>
  <cellStyles count="7">
    <cellStyle name="Moeda" xfId="1" builtinId="4"/>
    <cellStyle name="Moeda 2" xfId="3" xr:uid="{00000000-0005-0000-0000-000002000000}"/>
    <cellStyle name="Moeda 3" xfId="5" xr:uid="{10CF9D97-F468-4616-B05F-4C0F0C776601}"/>
    <cellStyle name="Normal" xfId="0" builtinId="0"/>
    <cellStyle name="Vírgula" xfId="2" builtinId="3"/>
    <cellStyle name="Vírgula 2" xfId="4" xr:uid="{00000000-0005-0000-0000-000005000000}"/>
    <cellStyle name="Vírgula 3" xfId="6" xr:uid="{F2250F72-3BF6-44EB-BCAC-44E38AC6FB46}"/>
  </cellStyles>
  <dxfs count="9">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EC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Exibição 1" id="{925010BB-5994-4998-A688-18828C00DA35}"/>
</namedSheetViews>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pageSetUpPr fitToPage="1"/>
  </sheetPr>
  <dimension ref="A1:W224"/>
  <sheetViews>
    <sheetView tabSelected="1" zoomScale="85" zoomScaleNormal="85" workbookViewId="0">
      <selection activeCell="I224" sqref="I224"/>
    </sheetView>
  </sheetViews>
  <sheetFormatPr defaultColWidth="0" defaultRowHeight="15" zeroHeight="1" outlineLevelRow="1" x14ac:dyDescent="0.25"/>
  <cols>
    <col min="1" max="1" width="3.85546875" customWidth="1"/>
    <col min="2" max="2" width="10" customWidth="1"/>
    <col min="3" max="5" width="14.28515625" customWidth="1"/>
    <col min="6" max="6" width="14.5703125" customWidth="1"/>
    <col min="7" max="7" width="9" customWidth="1"/>
    <col min="8" max="8" width="61.7109375" customWidth="1"/>
    <col min="9" max="10" width="18.85546875" customWidth="1"/>
    <col min="11" max="11" width="16.140625" customWidth="1"/>
    <col min="12" max="12" width="15.7109375" customWidth="1"/>
    <col min="13" max="13" width="12.42578125" customWidth="1"/>
    <col min="14" max="14" width="15.28515625" customWidth="1"/>
    <col min="15" max="15" width="20.5703125" customWidth="1"/>
    <col min="16" max="16" width="14" customWidth="1"/>
    <col min="17" max="17" width="21.7109375" customWidth="1"/>
    <col min="18" max="18" width="17.42578125" style="21" customWidth="1"/>
    <col min="19" max="19" width="15.28515625" customWidth="1"/>
    <col min="20" max="20" width="23.42578125" bestFit="1" customWidth="1"/>
    <col min="21" max="21" width="3.85546875" customWidth="1"/>
    <col min="22" max="23" width="0" hidden="1" customWidth="1"/>
    <col min="24" max="16384" width="8.85546875" hidden="1"/>
  </cols>
  <sheetData>
    <row r="1" spans="2:20" ht="15.75" outlineLevel="1" thickBot="1" x14ac:dyDescent="0.3"/>
    <row r="2" spans="2:20" ht="26.25" outlineLevel="1" thickBot="1" x14ac:dyDescent="0.5">
      <c r="B2" s="22" t="s">
        <v>0</v>
      </c>
      <c r="C2" s="23"/>
      <c r="D2" s="23"/>
      <c r="E2" s="23"/>
      <c r="F2" s="23"/>
      <c r="G2" s="23"/>
      <c r="H2" s="23"/>
      <c r="I2" s="23"/>
      <c r="J2" s="23"/>
      <c r="K2" s="23"/>
      <c r="L2" s="23"/>
      <c r="M2" s="23"/>
      <c r="N2" s="23"/>
      <c r="O2" s="23"/>
      <c r="P2" s="23"/>
      <c r="Q2" s="23"/>
      <c r="R2" s="23"/>
      <c r="S2" s="23"/>
      <c r="T2" s="23"/>
    </row>
    <row r="3" spans="2:20" ht="27.75" customHeight="1" outlineLevel="1" thickBot="1" x14ac:dyDescent="0.3">
      <c r="B3" s="24" t="s">
        <v>1</v>
      </c>
      <c r="C3" s="25"/>
      <c r="D3" s="25"/>
      <c r="E3" s="25"/>
      <c r="F3" s="25"/>
      <c r="G3" s="25"/>
      <c r="H3" s="25"/>
      <c r="I3" s="25"/>
      <c r="J3" s="25"/>
      <c r="K3" s="25"/>
      <c r="L3" s="25"/>
      <c r="M3" s="25"/>
      <c r="N3" s="25"/>
      <c r="O3" s="25"/>
      <c r="P3" s="25"/>
      <c r="Q3" s="25"/>
      <c r="R3" s="25"/>
      <c r="S3" s="26"/>
      <c r="T3" s="26"/>
    </row>
    <row r="4" spans="2:20" ht="15.75" outlineLevel="1" thickBot="1" x14ac:dyDescent="0.3">
      <c r="B4" s="17"/>
      <c r="C4" s="17"/>
      <c r="D4" s="17"/>
      <c r="E4" s="17"/>
      <c r="F4" s="17"/>
      <c r="G4" s="17"/>
      <c r="H4" s="18"/>
      <c r="I4" s="17"/>
      <c r="J4" s="18"/>
      <c r="K4" s="18"/>
      <c r="L4" s="17"/>
      <c r="M4" s="17"/>
      <c r="N4" s="17"/>
      <c r="O4" s="17"/>
      <c r="P4" s="17"/>
      <c r="Q4" s="17"/>
      <c r="R4" s="19"/>
      <c r="S4" s="17"/>
      <c r="T4" s="17"/>
    </row>
    <row r="5" spans="2:20" ht="15.75" outlineLevel="1" thickBot="1" x14ac:dyDescent="0.3">
      <c r="B5" s="17"/>
      <c r="C5" s="17"/>
      <c r="D5" s="17"/>
      <c r="E5" s="17"/>
      <c r="F5" s="17"/>
      <c r="G5" s="44"/>
      <c r="H5" s="18"/>
      <c r="I5" s="28">
        <f>SUBTOTAL(9,I7:I535)</f>
        <v>160284533.68651676</v>
      </c>
      <c r="J5" s="18"/>
      <c r="K5" s="18"/>
      <c r="L5" s="17"/>
      <c r="M5" s="17"/>
      <c r="N5" s="17"/>
      <c r="O5" s="17"/>
      <c r="P5" s="17"/>
      <c r="Q5" s="17"/>
      <c r="R5" s="19"/>
      <c r="S5" s="17"/>
      <c r="T5" s="17"/>
    </row>
    <row r="6" spans="2:20" s="20" customFormat="1" ht="57" customHeight="1" x14ac:dyDescent="0.25">
      <c r="B6" s="1" t="s">
        <v>2</v>
      </c>
      <c r="C6" s="1" t="s">
        <v>3</v>
      </c>
      <c r="D6" s="1" t="s">
        <v>4</v>
      </c>
      <c r="E6" s="1" t="s">
        <v>5</v>
      </c>
      <c r="F6" s="1" t="s">
        <v>6</v>
      </c>
      <c r="G6" s="1" t="s">
        <v>7</v>
      </c>
      <c r="H6" s="1" t="s">
        <v>8</v>
      </c>
      <c r="I6" s="27" t="s">
        <v>9</v>
      </c>
      <c r="J6" s="1" t="s">
        <v>10</v>
      </c>
      <c r="K6" s="1" t="s">
        <v>11</v>
      </c>
      <c r="L6" s="1" t="s">
        <v>12</v>
      </c>
      <c r="M6" s="1" t="s">
        <v>13</v>
      </c>
      <c r="N6" s="1" t="s">
        <v>14</v>
      </c>
      <c r="O6" s="1" t="s">
        <v>15</v>
      </c>
      <c r="P6" s="1" t="s">
        <v>16</v>
      </c>
      <c r="Q6" s="1" t="s">
        <v>17</v>
      </c>
      <c r="R6" s="2" t="s">
        <v>18</v>
      </c>
      <c r="S6" s="1" t="s">
        <v>19</v>
      </c>
      <c r="T6" s="1" t="s">
        <v>20</v>
      </c>
    </row>
    <row r="7" spans="2:20" x14ac:dyDescent="0.25">
      <c r="B7" s="3">
        <v>1</v>
      </c>
      <c r="C7" s="3" t="s">
        <v>21</v>
      </c>
      <c r="D7" s="4" t="s">
        <v>22</v>
      </c>
      <c r="E7" s="4">
        <v>3</v>
      </c>
      <c r="F7" s="3" t="s">
        <v>23</v>
      </c>
      <c r="G7" s="6" t="s">
        <v>24</v>
      </c>
      <c r="H7" s="14" t="s">
        <v>25</v>
      </c>
      <c r="I7" s="5">
        <v>90000</v>
      </c>
      <c r="J7" s="14" t="s">
        <v>26</v>
      </c>
      <c r="K7" s="4" t="s">
        <v>27</v>
      </c>
      <c r="L7" s="4" t="s">
        <v>28</v>
      </c>
      <c r="M7" s="4" t="s">
        <v>29</v>
      </c>
      <c r="N7" s="4" t="s">
        <v>30</v>
      </c>
      <c r="O7" s="4" t="s">
        <v>31</v>
      </c>
      <c r="P7" s="4" t="s">
        <v>32</v>
      </c>
      <c r="Q7" s="4" t="s">
        <v>33</v>
      </c>
      <c r="R7" s="11">
        <v>45591</v>
      </c>
      <c r="S7" s="4" t="s">
        <v>34</v>
      </c>
      <c r="T7" s="4" t="s">
        <v>35</v>
      </c>
    </row>
    <row r="8" spans="2:20" x14ac:dyDescent="0.25">
      <c r="B8" s="7">
        <v>2</v>
      </c>
      <c r="C8" s="7" t="s">
        <v>21</v>
      </c>
      <c r="D8" s="8" t="s">
        <v>22</v>
      </c>
      <c r="E8" s="8">
        <v>3</v>
      </c>
      <c r="F8" s="7" t="s">
        <v>36</v>
      </c>
      <c r="G8" s="10" t="s">
        <v>24</v>
      </c>
      <c r="H8" s="13" t="s">
        <v>37</v>
      </c>
      <c r="I8" s="9">
        <f>146211.156-12000</f>
        <v>134211.15599999999</v>
      </c>
      <c r="J8" s="13" t="s">
        <v>38</v>
      </c>
      <c r="K8" s="8" t="s">
        <v>920</v>
      </c>
      <c r="L8" s="8" t="s">
        <v>40</v>
      </c>
      <c r="M8" s="8" t="s">
        <v>29</v>
      </c>
      <c r="N8" s="8" t="s">
        <v>30</v>
      </c>
      <c r="O8" s="8" t="s">
        <v>31</v>
      </c>
      <c r="P8" s="8" t="s">
        <v>41</v>
      </c>
      <c r="Q8" s="7" t="s">
        <v>42</v>
      </c>
      <c r="R8" s="12">
        <v>45292</v>
      </c>
      <c r="S8" s="8" t="s">
        <v>43</v>
      </c>
      <c r="T8" s="7" t="s">
        <v>44</v>
      </c>
    </row>
    <row r="9" spans="2:20" x14ac:dyDescent="0.25">
      <c r="B9" s="3">
        <v>3</v>
      </c>
      <c r="C9" s="3" t="s">
        <v>21</v>
      </c>
      <c r="D9" s="4" t="s">
        <v>22</v>
      </c>
      <c r="E9" s="4">
        <v>3</v>
      </c>
      <c r="F9" s="3" t="s">
        <v>45</v>
      </c>
      <c r="G9" s="6" t="s">
        <v>24</v>
      </c>
      <c r="H9" s="14" t="s">
        <v>46</v>
      </c>
      <c r="I9" s="5">
        <v>2564830.5099999998</v>
      </c>
      <c r="J9" s="14" t="s">
        <v>47</v>
      </c>
      <c r="K9" s="4" t="s">
        <v>922</v>
      </c>
      <c r="L9" s="4" t="s">
        <v>40</v>
      </c>
      <c r="M9" s="4" t="s">
        <v>29</v>
      </c>
      <c r="N9" s="4" t="s">
        <v>30</v>
      </c>
      <c r="O9" s="4" t="s">
        <v>49</v>
      </c>
      <c r="P9" s="4" t="s">
        <v>50</v>
      </c>
      <c r="Q9" s="4" t="s">
        <v>51</v>
      </c>
      <c r="R9" s="11" t="s">
        <v>52</v>
      </c>
      <c r="S9" s="4" t="s">
        <v>34</v>
      </c>
      <c r="T9" s="4" t="s">
        <v>53</v>
      </c>
    </row>
    <row r="10" spans="2:20" x14ac:dyDescent="0.25">
      <c r="B10" s="7">
        <v>4</v>
      </c>
      <c r="C10" s="7" t="s">
        <v>21</v>
      </c>
      <c r="D10" s="8" t="s">
        <v>22</v>
      </c>
      <c r="E10" s="8">
        <v>3</v>
      </c>
      <c r="F10" s="7" t="s">
        <v>54</v>
      </c>
      <c r="G10" s="10" t="s">
        <v>24</v>
      </c>
      <c r="H10" s="13" t="s">
        <v>55</v>
      </c>
      <c r="I10" s="9">
        <v>269000</v>
      </c>
      <c r="J10" s="13" t="s">
        <v>47</v>
      </c>
      <c r="K10" s="7" t="s">
        <v>922</v>
      </c>
      <c r="L10" s="8" t="s">
        <v>40</v>
      </c>
      <c r="M10" s="8" t="s">
        <v>29</v>
      </c>
      <c r="N10" s="8" t="s">
        <v>30</v>
      </c>
      <c r="O10" s="8" t="s">
        <v>49</v>
      </c>
      <c r="P10" s="8" t="s">
        <v>56</v>
      </c>
      <c r="Q10" s="7" t="s">
        <v>57</v>
      </c>
      <c r="R10" s="12" t="s">
        <v>58</v>
      </c>
      <c r="S10" s="8" t="s">
        <v>34</v>
      </c>
      <c r="T10" s="7" t="s">
        <v>59</v>
      </c>
    </row>
    <row r="11" spans="2:20" x14ac:dyDescent="0.25">
      <c r="B11" s="3">
        <v>5</v>
      </c>
      <c r="C11" s="3" t="s">
        <v>21</v>
      </c>
      <c r="D11" s="4" t="s">
        <v>22</v>
      </c>
      <c r="E11" s="4">
        <v>3</v>
      </c>
      <c r="F11" s="3" t="s">
        <v>60</v>
      </c>
      <c r="G11" s="6" t="s">
        <v>24</v>
      </c>
      <c r="H11" s="14" t="s">
        <v>61</v>
      </c>
      <c r="I11" s="5">
        <v>1790805.31</v>
      </c>
      <c r="J11" s="14" t="s">
        <v>47</v>
      </c>
      <c r="K11" s="4" t="s">
        <v>922</v>
      </c>
      <c r="L11" s="4" t="s">
        <v>40</v>
      </c>
      <c r="M11" s="4" t="s">
        <v>29</v>
      </c>
      <c r="N11" s="4" t="s">
        <v>30</v>
      </c>
      <c r="O11" s="4" t="s">
        <v>31</v>
      </c>
      <c r="P11" s="4" t="s">
        <v>62</v>
      </c>
      <c r="Q11" s="4" t="s">
        <v>63</v>
      </c>
      <c r="R11" s="11">
        <v>45458</v>
      </c>
      <c r="S11" s="4" t="s">
        <v>43</v>
      </c>
      <c r="T11" s="4" t="s">
        <v>64</v>
      </c>
    </row>
    <row r="12" spans="2:20" x14ac:dyDescent="0.25">
      <c r="B12" s="7">
        <v>6</v>
      </c>
      <c r="C12" s="7" t="s">
        <v>21</v>
      </c>
      <c r="D12" s="8" t="s">
        <v>22</v>
      </c>
      <c r="E12" s="8">
        <v>3</v>
      </c>
      <c r="F12" s="7" t="s">
        <v>65</v>
      </c>
      <c r="G12" s="10" t="s">
        <v>24</v>
      </c>
      <c r="H12" s="13" t="s">
        <v>66</v>
      </c>
      <c r="I12" s="9">
        <v>92120.020799999998</v>
      </c>
      <c r="J12" s="13" t="s">
        <v>47</v>
      </c>
      <c r="K12" s="7" t="s">
        <v>922</v>
      </c>
      <c r="L12" s="8" t="s">
        <v>40</v>
      </c>
      <c r="M12" s="8" t="s">
        <v>29</v>
      </c>
      <c r="N12" s="8" t="s">
        <v>30</v>
      </c>
      <c r="O12" s="8" t="s">
        <v>31</v>
      </c>
      <c r="P12" s="8" t="s">
        <v>67</v>
      </c>
      <c r="Q12" s="7" t="s">
        <v>68</v>
      </c>
      <c r="R12" s="12">
        <v>45498</v>
      </c>
      <c r="S12" s="8" t="s">
        <v>69</v>
      </c>
      <c r="T12" s="7" t="s">
        <v>70</v>
      </c>
    </row>
    <row r="13" spans="2:20" x14ac:dyDescent="0.25">
      <c r="B13" s="3">
        <v>7</v>
      </c>
      <c r="C13" s="3" t="s">
        <v>21</v>
      </c>
      <c r="D13" s="4" t="s">
        <v>22</v>
      </c>
      <c r="E13" s="4">
        <v>3</v>
      </c>
      <c r="F13" s="3" t="s">
        <v>71</v>
      </c>
      <c r="G13" s="6" t="s">
        <v>24</v>
      </c>
      <c r="H13" s="14" t="s">
        <v>72</v>
      </c>
      <c r="I13" s="5">
        <v>7403.04</v>
      </c>
      <c r="J13" s="14" t="s">
        <v>47</v>
      </c>
      <c r="K13" s="4" t="s">
        <v>922</v>
      </c>
      <c r="L13" s="4" t="s">
        <v>40</v>
      </c>
      <c r="M13" s="4" t="s">
        <v>29</v>
      </c>
      <c r="N13" s="4" t="s">
        <v>30</v>
      </c>
      <c r="O13" s="4" t="s">
        <v>31</v>
      </c>
      <c r="P13" s="4" t="s">
        <v>73</v>
      </c>
      <c r="Q13" s="4" t="s">
        <v>74</v>
      </c>
      <c r="R13" s="11">
        <v>45494</v>
      </c>
      <c r="S13" s="4" t="s">
        <v>69</v>
      </c>
      <c r="T13" s="4" t="s">
        <v>75</v>
      </c>
    </row>
    <row r="14" spans="2:20" x14ac:dyDescent="0.25">
      <c r="B14" s="7"/>
      <c r="C14" s="7"/>
      <c r="D14" s="8"/>
      <c r="E14" s="8"/>
      <c r="F14" s="7"/>
      <c r="G14" s="10"/>
      <c r="H14" s="13" t="s">
        <v>76</v>
      </c>
      <c r="I14" s="9"/>
      <c r="J14" s="13"/>
      <c r="K14" s="8"/>
      <c r="L14" s="8"/>
      <c r="M14" s="8"/>
      <c r="N14" s="8"/>
      <c r="O14" s="8"/>
      <c r="P14" s="8"/>
      <c r="Q14" s="7"/>
      <c r="R14" s="12"/>
      <c r="S14" s="8"/>
      <c r="T14" s="7"/>
    </row>
    <row r="15" spans="2:20" x14ac:dyDescent="0.25">
      <c r="B15" s="3">
        <v>9</v>
      </c>
      <c r="C15" s="3" t="s">
        <v>21</v>
      </c>
      <c r="D15" s="4" t="s">
        <v>22</v>
      </c>
      <c r="E15" s="4">
        <v>3</v>
      </c>
      <c r="F15" s="3" t="s">
        <v>77</v>
      </c>
      <c r="G15" s="6" t="s">
        <v>24</v>
      </c>
      <c r="H15" s="14" t="s">
        <v>78</v>
      </c>
      <c r="I15" s="5">
        <f>5300000-42276.0882999971-656368</f>
        <v>4601355.9117000028</v>
      </c>
      <c r="J15" s="14" t="s">
        <v>79</v>
      </c>
      <c r="K15" s="4" t="s">
        <v>929</v>
      </c>
      <c r="L15" s="4" t="s">
        <v>40</v>
      </c>
      <c r="M15" s="4" t="s">
        <v>29</v>
      </c>
      <c r="N15" s="4" t="s">
        <v>30</v>
      </c>
      <c r="O15" s="4" t="s">
        <v>49</v>
      </c>
      <c r="P15" s="4" t="s">
        <v>81</v>
      </c>
      <c r="Q15" s="4" t="s">
        <v>82</v>
      </c>
      <c r="R15" s="11" t="s">
        <v>58</v>
      </c>
      <c r="S15" s="4" t="s">
        <v>43</v>
      </c>
      <c r="T15" s="4" t="s">
        <v>83</v>
      </c>
    </row>
    <row r="16" spans="2:20" x14ac:dyDescent="0.25">
      <c r="B16" s="7">
        <v>10</v>
      </c>
      <c r="C16" s="7" t="s">
        <v>21</v>
      </c>
      <c r="D16" s="8" t="s">
        <v>22</v>
      </c>
      <c r="E16" s="8">
        <v>3</v>
      </c>
      <c r="F16" s="7" t="s">
        <v>84</v>
      </c>
      <c r="G16" s="10" t="s">
        <v>24</v>
      </c>
      <c r="H16" s="13" t="s">
        <v>85</v>
      </c>
      <c r="I16" s="9">
        <f>835232.3385-384632</f>
        <v>450600.33849999995</v>
      </c>
      <c r="J16" s="13" t="s">
        <v>79</v>
      </c>
      <c r="K16" s="8" t="s">
        <v>929</v>
      </c>
      <c r="L16" s="8" t="s">
        <v>40</v>
      </c>
      <c r="M16" s="8" t="s">
        <v>29</v>
      </c>
      <c r="N16" s="8" t="s">
        <v>30</v>
      </c>
      <c r="O16" s="8" t="s">
        <v>31</v>
      </c>
      <c r="P16" s="8" t="s">
        <v>86</v>
      </c>
      <c r="Q16" s="7" t="s">
        <v>87</v>
      </c>
      <c r="R16" s="12">
        <v>45358</v>
      </c>
      <c r="S16" s="8" t="s">
        <v>43</v>
      </c>
      <c r="T16" s="7" t="s">
        <v>88</v>
      </c>
    </row>
    <row r="17" spans="2:20" x14ac:dyDescent="0.25">
      <c r="B17" s="3">
        <v>11</v>
      </c>
      <c r="C17" s="3" t="s">
        <v>21</v>
      </c>
      <c r="D17" s="4" t="s">
        <v>22</v>
      </c>
      <c r="E17" s="4">
        <v>3</v>
      </c>
      <c r="F17" s="3" t="s">
        <v>89</v>
      </c>
      <c r="G17" s="6" t="s">
        <v>24</v>
      </c>
      <c r="H17" s="14" t="s">
        <v>90</v>
      </c>
      <c r="I17" s="5">
        <v>102606.3</v>
      </c>
      <c r="J17" s="14" t="s">
        <v>79</v>
      </c>
      <c r="K17" s="4" t="s">
        <v>929</v>
      </c>
      <c r="L17" s="4" t="s">
        <v>40</v>
      </c>
      <c r="M17" s="4" t="s">
        <v>29</v>
      </c>
      <c r="N17" s="4" t="s">
        <v>30</v>
      </c>
      <c r="O17" s="4" t="s">
        <v>31</v>
      </c>
      <c r="P17" s="4" t="s">
        <v>91</v>
      </c>
      <c r="Q17" s="4" t="s">
        <v>92</v>
      </c>
      <c r="R17" s="11">
        <v>45426</v>
      </c>
      <c r="S17" s="4" t="s">
        <v>43</v>
      </c>
      <c r="T17" s="4" t="s">
        <v>93</v>
      </c>
    </row>
    <row r="18" spans="2:20" x14ac:dyDescent="0.25">
      <c r="B18" s="7">
        <v>12</v>
      </c>
      <c r="C18" s="7" t="s">
        <v>21</v>
      </c>
      <c r="D18" s="8" t="s">
        <v>22</v>
      </c>
      <c r="E18" s="8">
        <v>3</v>
      </c>
      <c r="F18" s="7" t="s">
        <v>89</v>
      </c>
      <c r="G18" s="10" t="s">
        <v>24</v>
      </c>
      <c r="H18" s="13" t="s">
        <v>94</v>
      </c>
      <c r="I18" s="126">
        <f>197393.7+8976.61</f>
        <v>206370.31</v>
      </c>
      <c r="J18" s="13" t="s">
        <v>79</v>
      </c>
      <c r="K18" s="8" t="s">
        <v>929</v>
      </c>
      <c r="L18" s="8" t="s">
        <v>40</v>
      </c>
      <c r="M18" s="8" t="s">
        <v>29</v>
      </c>
      <c r="N18" s="8" t="s">
        <v>30</v>
      </c>
      <c r="O18" s="8" t="s">
        <v>95</v>
      </c>
      <c r="P18" s="8" t="s">
        <v>96</v>
      </c>
      <c r="Q18" s="7" t="s">
        <v>816</v>
      </c>
      <c r="R18" s="12">
        <v>45504</v>
      </c>
      <c r="S18" s="8" t="s">
        <v>69</v>
      </c>
      <c r="T18" s="7" t="s">
        <v>93</v>
      </c>
    </row>
    <row r="19" spans="2:20" x14ac:dyDescent="0.25">
      <c r="B19" s="3">
        <v>13.1</v>
      </c>
      <c r="C19" s="3" t="s">
        <v>21</v>
      </c>
      <c r="D19" s="4" t="s">
        <v>22</v>
      </c>
      <c r="E19" s="4">
        <v>3</v>
      </c>
      <c r="F19" s="3" t="s">
        <v>97</v>
      </c>
      <c r="G19" s="6" t="s">
        <v>24</v>
      </c>
      <c r="H19" s="14" t="s">
        <v>98</v>
      </c>
      <c r="I19" s="5">
        <v>35568.17</v>
      </c>
      <c r="J19" s="14" t="s">
        <v>79</v>
      </c>
      <c r="K19" s="4" t="s">
        <v>929</v>
      </c>
      <c r="L19" s="4" t="s">
        <v>40</v>
      </c>
      <c r="M19" s="4" t="s">
        <v>29</v>
      </c>
      <c r="N19" s="4" t="s">
        <v>30</v>
      </c>
      <c r="O19" s="4" t="s">
        <v>31</v>
      </c>
      <c r="P19" s="4" t="s">
        <v>99</v>
      </c>
      <c r="Q19" s="4" t="s">
        <v>100</v>
      </c>
      <c r="R19" s="11">
        <v>45382</v>
      </c>
      <c r="S19" s="4" t="s">
        <v>69</v>
      </c>
      <c r="T19" s="4" t="s">
        <v>101</v>
      </c>
    </row>
    <row r="20" spans="2:20" x14ac:dyDescent="0.25">
      <c r="B20" s="7">
        <v>13.2</v>
      </c>
      <c r="C20" s="7" t="s">
        <v>21</v>
      </c>
      <c r="D20" s="8" t="s">
        <v>22</v>
      </c>
      <c r="E20" s="8">
        <v>3</v>
      </c>
      <c r="F20" s="7" t="s">
        <v>97</v>
      </c>
      <c r="G20" s="10" t="s">
        <v>24</v>
      </c>
      <c r="H20" s="13" t="s">
        <v>98</v>
      </c>
      <c r="I20" s="9">
        <v>1591.65</v>
      </c>
      <c r="J20" s="13" t="s">
        <v>79</v>
      </c>
      <c r="K20" s="8" t="s">
        <v>929</v>
      </c>
      <c r="L20" s="8" t="s">
        <v>40</v>
      </c>
      <c r="M20" s="8" t="s">
        <v>29</v>
      </c>
      <c r="N20" s="8" t="s">
        <v>30</v>
      </c>
      <c r="O20" s="8" t="s">
        <v>31</v>
      </c>
      <c r="P20" s="8" t="s">
        <v>102</v>
      </c>
      <c r="Q20" s="7" t="s">
        <v>103</v>
      </c>
      <c r="R20" s="12">
        <v>45396</v>
      </c>
      <c r="S20" s="8" t="s">
        <v>69</v>
      </c>
      <c r="T20" s="7" t="s">
        <v>101</v>
      </c>
    </row>
    <row r="21" spans="2:20" x14ac:dyDescent="0.25">
      <c r="B21" s="3">
        <v>14</v>
      </c>
      <c r="C21" s="3" t="s">
        <v>21</v>
      </c>
      <c r="D21" s="4" t="s">
        <v>22</v>
      </c>
      <c r="E21" s="4">
        <v>3</v>
      </c>
      <c r="F21" s="3" t="s">
        <v>104</v>
      </c>
      <c r="G21" s="6" t="s">
        <v>24</v>
      </c>
      <c r="H21" s="14" t="s">
        <v>105</v>
      </c>
      <c r="I21" s="5">
        <v>35000</v>
      </c>
      <c r="J21" s="14" t="s">
        <v>79</v>
      </c>
      <c r="K21" s="4" t="s">
        <v>929</v>
      </c>
      <c r="L21" s="4" t="s">
        <v>40</v>
      </c>
      <c r="M21" s="4" t="s">
        <v>106</v>
      </c>
      <c r="N21" s="4" t="s">
        <v>29</v>
      </c>
      <c r="O21" s="4" t="s">
        <v>31</v>
      </c>
      <c r="P21" s="4" t="s">
        <v>107</v>
      </c>
      <c r="Q21" s="4" t="s">
        <v>108</v>
      </c>
      <c r="R21" s="11">
        <v>45539</v>
      </c>
      <c r="S21" s="4" t="s">
        <v>34</v>
      </c>
      <c r="T21" s="4" t="s">
        <v>109</v>
      </c>
    </row>
    <row r="22" spans="2:20" x14ac:dyDescent="0.25">
      <c r="B22" s="7">
        <v>15</v>
      </c>
      <c r="C22" s="7" t="s">
        <v>21</v>
      </c>
      <c r="D22" s="8" t="s">
        <v>22</v>
      </c>
      <c r="E22" s="8">
        <v>3</v>
      </c>
      <c r="F22" s="7" t="s">
        <v>71</v>
      </c>
      <c r="G22" s="10" t="s">
        <v>24</v>
      </c>
      <c r="H22" s="13" t="s">
        <v>110</v>
      </c>
      <c r="I22" s="9">
        <f>44519.42-3248.8-17556.86</f>
        <v>23713.759999999995</v>
      </c>
      <c r="J22" s="13" t="s">
        <v>111</v>
      </c>
      <c r="K22" s="8" t="s">
        <v>927</v>
      </c>
      <c r="L22" s="8" t="s">
        <v>40</v>
      </c>
      <c r="M22" s="8" t="s">
        <v>29</v>
      </c>
      <c r="N22" s="8" t="s">
        <v>29</v>
      </c>
      <c r="O22" s="8" t="s">
        <v>95</v>
      </c>
      <c r="P22" s="8" t="s">
        <v>112</v>
      </c>
      <c r="Q22" s="7"/>
      <c r="R22" s="12">
        <v>45383</v>
      </c>
      <c r="S22" s="8" t="s">
        <v>69</v>
      </c>
      <c r="T22" s="7" t="s">
        <v>113</v>
      </c>
    </row>
    <row r="23" spans="2:20" x14ac:dyDescent="0.25">
      <c r="B23" s="3">
        <v>16.100000000000001</v>
      </c>
      <c r="C23" s="3" t="s">
        <v>21</v>
      </c>
      <c r="D23" s="4" t="s">
        <v>22</v>
      </c>
      <c r="E23" s="4">
        <v>3</v>
      </c>
      <c r="F23" s="3" t="s">
        <v>114</v>
      </c>
      <c r="G23" s="6" t="s">
        <v>24</v>
      </c>
      <c r="H23" s="14" t="s">
        <v>115</v>
      </c>
      <c r="I23" s="126">
        <f>10000+7138+6807</f>
        <v>23945</v>
      </c>
      <c r="J23" s="14" t="s">
        <v>116</v>
      </c>
      <c r="K23" s="4" t="s">
        <v>927</v>
      </c>
      <c r="L23" s="4" t="s">
        <v>40</v>
      </c>
      <c r="M23" s="4" t="s">
        <v>29</v>
      </c>
      <c r="N23" s="4" t="s">
        <v>30</v>
      </c>
      <c r="O23" s="4" t="s">
        <v>49</v>
      </c>
      <c r="P23" s="4" t="s">
        <v>117</v>
      </c>
      <c r="Q23" s="4" t="s">
        <v>118</v>
      </c>
      <c r="R23" s="11"/>
      <c r="S23" s="4" t="s">
        <v>69</v>
      </c>
      <c r="T23" s="4" t="s">
        <v>119</v>
      </c>
    </row>
    <row r="24" spans="2:20" x14ac:dyDescent="0.25">
      <c r="B24" s="7">
        <v>16.2</v>
      </c>
      <c r="C24" s="7" t="s">
        <v>21</v>
      </c>
      <c r="D24" s="8" t="s">
        <v>22</v>
      </c>
      <c r="E24" s="8">
        <v>4</v>
      </c>
      <c r="F24" s="7" t="s">
        <v>120</v>
      </c>
      <c r="G24" s="10" t="s">
        <v>24</v>
      </c>
      <c r="H24" s="13" t="s">
        <v>115</v>
      </c>
      <c r="I24" s="9">
        <f>(260000/12)*5-7911.65</f>
        <v>100421.68333333335</v>
      </c>
      <c r="J24" s="13" t="s">
        <v>116</v>
      </c>
      <c r="K24" s="8" t="s">
        <v>927</v>
      </c>
      <c r="L24" s="8" t="s">
        <v>40</v>
      </c>
      <c r="M24" s="8" t="s">
        <v>29</v>
      </c>
      <c r="N24" s="8" t="s">
        <v>30</v>
      </c>
      <c r="O24" s="8" t="s">
        <v>49</v>
      </c>
      <c r="P24" s="8" t="s">
        <v>117</v>
      </c>
      <c r="Q24" s="7" t="s">
        <v>118</v>
      </c>
      <c r="R24" s="12"/>
      <c r="S24" s="8" t="s">
        <v>69</v>
      </c>
      <c r="T24" s="7" t="s">
        <v>119</v>
      </c>
    </row>
    <row r="25" spans="2:20" x14ac:dyDescent="0.25">
      <c r="B25" s="3">
        <v>16.3</v>
      </c>
      <c r="C25" s="3" t="s">
        <v>21</v>
      </c>
      <c r="D25" s="4" t="s">
        <v>22</v>
      </c>
      <c r="E25" s="4">
        <v>3</v>
      </c>
      <c r="F25" s="3" t="s">
        <v>114</v>
      </c>
      <c r="G25" s="6" t="s">
        <v>24</v>
      </c>
      <c r="H25" s="14" t="s">
        <v>115</v>
      </c>
      <c r="I25" s="5">
        <f>40000-7138</f>
        <v>32862</v>
      </c>
      <c r="J25" s="14" t="s">
        <v>116</v>
      </c>
      <c r="K25" s="4" t="s">
        <v>927</v>
      </c>
      <c r="L25" s="4" t="s">
        <v>40</v>
      </c>
      <c r="M25" s="4" t="s">
        <v>29</v>
      </c>
      <c r="N25" s="4" t="s">
        <v>30</v>
      </c>
      <c r="O25" s="4" t="s">
        <v>95</v>
      </c>
      <c r="P25" s="4" t="s">
        <v>121</v>
      </c>
      <c r="Q25" s="4"/>
      <c r="R25" s="11">
        <v>45436</v>
      </c>
      <c r="S25" s="4" t="s">
        <v>69</v>
      </c>
      <c r="T25" s="4" t="s">
        <v>119</v>
      </c>
    </row>
    <row r="26" spans="2:20" x14ac:dyDescent="0.25">
      <c r="B26" s="7">
        <v>16.399999999999999</v>
      </c>
      <c r="C26" s="7" t="s">
        <v>21</v>
      </c>
      <c r="D26" s="8" t="s">
        <v>22</v>
      </c>
      <c r="E26" s="8">
        <v>4</v>
      </c>
      <c r="F26" s="7" t="s">
        <v>120</v>
      </c>
      <c r="G26" s="10" t="s">
        <v>24</v>
      </c>
      <c r="H26" s="13" t="s">
        <v>115</v>
      </c>
      <c r="I26" s="124">
        <f>(260000/12)*7-702.91-13408.766+14000-889-46656.4</f>
        <v>104009.59066666669</v>
      </c>
      <c r="J26" s="13" t="s">
        <v>116</v>
      </c>
      <c r="K26" s="8" t="s">
        <v>927</v>
      </c>
      <c r="L26" s="8" t="s">
        <v>40</v>
      </c>
      <c r="M26" s="8" t="s">
        <v>29</v>
      </c>
      <c r="N26" s="8" t="s">
        <v>30</v>
      </c>
      <c r="O26" s="8" t="s">
        <v>95</v>
      </c>
      <c r="P26" s="8" t="s">
        <v>121</v>
      </c>
      <c r="Q26" s="7"/>
      <c r="R26" s="12">
        <v>45436</v>
      </c>
      <c r="S26" s="8" t="s">
        <v>69</v>
      </c>
      <c r="T26" s="7" t="s">
        <v>119</v>
      </c>
    </row>
    <row r="27" spans="2:20" x14ac:dyDescent="0.25">
      <c r="B27" s="3">
        <v>17</v>
      </c>
      <c r="C27" s="3" t="s">
        <v>21</v>
      </c>
      <c r="D27" s="4" t="s">
        <v>22</v>
      </c>
      <c r="E27" s="4">
        <v>3</v>
      </c>
      <c r="F27" s="3" t="s">
        <v>122</v>
      </c>
      <c r="G27" s="6" t="s">
        <v>24</v>
      </c>
      <c r="H27" s="14" t="s">
        <v>123</v>
      </c>
      <c r="I27" s="5">
        <v>5451.3256000000001</v>
      </c>
      <c r="J27" s="14" t="s">
        <v>124</v>
      </c>
      <c r="K27" s="4" t="s">
        <v>927</v>
      </c>
      <c r="L27" s="4" t="s">
        <v>40</v>
      </c>
      <c r="M27" s="4" t="s">
        <v>29</v>
      </c>
      <c r="N27" s="4" t="s">
        <v>29</v>
      </c>
      <c r="O27" s="4" t="s">
        <v>125</v>
      </c>
      <c r="P27" s="4" t="s">
        <v>126</v>
      </c>
      <c r="Q27" s="4"/>
      <c r="R27" s="11">
        <v>45444</v>
      </c>
      <c r="S27" s="4" t="s">
        <v>34</v>
      </c>
      <c r="T27" s="4" t="s">
        <v>127</v>
      </c>
    </row>
    <row r="28" spans="2:20" x14ac:dyDescent="0.25">
      <c r="B28" s="7"/>
      <c r="C28" s="7"/>
      <c r="D28" s="8"/>
      <c r="E28" s="8"/>
      <c r="F28" s="7"/>
      <c r="G28" s="10"/>
      <c r="H28" s="13" t="s">
        <v>76</v>
      </c>
      <c r="I28" s="9"/>
      <c r="J28" s="13"/>
      <c r="K28" s="8"/>
      <c r="L28" s="8"/>
      <c r="M28" s="8"/>
      <c r="N28" s="8"/>
      <c r="O28" s="8"/>
      <c r="P28" s="8"/>
      <c r="Q28" s="7"/>
      <c r="R28" s="12"/>
      <c r="S28" s="8"/>
      <c r="T28" s="7"/>
    </row>
    <row r="29" spans="2:20" x14ac:dyDescent="0.25">
      <c r="B29" s="3"/>
      <c r="C29" s="3"/>
      <c r="D29" s="4"/>
      <c r="E29" s="4"/>
      <c r="F29" s="3"/>
      <c r="G29" s="6"/>
      <c r="H29" s="14" t="s">
        <v>76</v>
      </c>
      <c r="I29" s="5"/>
      <c r="J29" s="14"/>
      <c r="K29" s="4"/>
      <c r="L29" s="4"/>
      <c r="M29" s="4"/>
      <c r="N29" s="4"/>
      <c r="O29" s="4"/>
      <c r="P29" s="4"/>
      <c r="Q29" s="4"/>
      <c r="R29" s="11"/>
      <c r="S29" s="4"/>
      <c r="T29" s="4"/>
    </row>
    <row r="30" spans="2:20" x14ac:dyDescent="0.25">
      <c r="B30" s="7">
        <v>19</v>
      </c>
      <c r="C30" s="7" t="s">
        <v>21</v>
      </c>
      <c r="D30" s="8" t="s">
        <v>22</v>
      </c>
      <c r="E30" s="8">
        <v>3</v>
      </c>
      <c r="F30" s="7" t="s">
        <v>129</v>
      </c>
      <c r="G30" s="10" t="s">
        <v>24</v>
      </c>
      <c r="H30" s="13" t="s">
        <v>130</v>
      </c>
      <c r="I30" s="9">
        <f>87236.52+9086.04833333333</f>
        <v>96322.568333333329</v>
      </c>
      <c r="J30" s="13" t="s">
        <v>131</v>
      </c>
      <c r="K30" s="8" t="s">
        <v>921</v>
      </c>
      <c r="L30" s="8" t="s">
        <v>40</v>
      </c>
      <c r="M30" s="8" t="s">
        <v>29</v>
      </c>
      <c r="N30" s="8" t="s">
        <v>29</v>
      </c>
      <c r="O30" s="8" t="s">
        <v>95</v>
      </c>
      <c r="P30" s="8" t="s">
        <v>133</v>
      </c>
      <c r="Q30" s="7" t="s">
        <v>58</v>
      </c>
      <c r="R30" s="12">
        <v>45336</v>
      </c>
      <c r="S30" s="8" t="s">
        <v>34</v>
      </c>
      <c r="T30" s="7" t="s">
        <v>132</v>
      </c>
    </row>
    <row r="31" spans="2:20" x14ac:dyDescent="0.25">
      <c r="B31" s="3">
        <v>20</v>
      </c>
      <c r="C31" s="3" t="s">
        <v>21</v>
      </c>
      <c r="D31" s="4" t="s">
        <v>22</v>
      </c>
      <c r="E31" s="4">
        <v>3</v>
      </c>
      <c r="F31" s="3" t="s">
        <v>129</v>
      </c>
      <c r="G31" s="6" t="s">
        <v>24</v>
      </c>
      <c r="H31" s="14" t="s">
        <v>134</v>
      </c>
      <c r="I31" s="124">
        <f>21659.92-9000+1796</f>
        <v>14455.919999999998</v>
      </c>
      <c r="J31" s="14" t="s">
        <v>135</v>
      </c>
      <c r="K31" s="4" t="s">
        <v>921</v>
      </c>
      <c r="L31" s="4" t="s">
        <v>40</v>
      </c>
      <c r="M31" s="4" t="s">
        <v>29</v>
      </c>
      <c r="N31" s="4" t="s">
        <v>29</v>
      </c>
      <c r="O31" s="4" t="s">
        <v>49</v>
      </c>
      <c r="P31" s="4" t="s">
        <v>136</v>
      </c>
      <c r="Q31" s="4" t="s">
        <v>137</v>
      </c>
      <c r="R31" s="11" t="s">
        <v>58</v>
      </c>
      <c r="S31" s="4" t="s">
        <v>34</v>
      </c>
      <c r="T31" s="4" t="s">
        <v>825</v>
      </c>
    </row>
    <row r="32" spans="2:20" x14ac:dyDescent="0.25">
      <c r="B32" s="7"/>
      <c r="C32" s="7"/>
      <c r="D32" s="8"/>
      <c r="E32" s="8"/>
      <c r="F32" s="7"/>
      <c r="G32" s="10"/>
      <c r="H32" s="13" t="s">
        <v>76</v>
      </c>
      <c r="I32" s="9"/>
      <c r="J32" s="13"/>
      <c r="K32" s="8"/>
      <c r="L32" s="8"/>
      <c r="M32" s="8"/>
      <c r="N32" s="8"/>
      <c r="O32" s="8"/>
      <c r="P32" s="8"/>
      <c r="Q32" s="7"/>
      <c r="R32" s="12"/>
      <c r="S32" s="8"/>
      <c r="T32" s="7"/>
    </row>
    <row r="33" spans="2:20" x14ac:dyDescent="0.25">
      <c r="B33" s="3">
        <v>21</v>
      </c>
      <c r="C33" s="3" t="s">
        <v>21</v>
      </c>
      <c r="D33" s="4" t="s">
        <v>22</v>
      </c>
      <c r="E33" s="4">
        <v>3</v>
      </c>
      <c r="F33" s="3" t="s">
        <v>77</v>
      </c>
      <c r="G33" s="6" t="s">
        <v>24</v>
      </c>
      <c r="H33" s="14" t="s">
        <v>139</v>
      </c>
      <c r="I33" s="5">
        <f>272764.5+19974+15500</f>
        <v>308238.5</v>
      </c>
      <c r="J33" s="14" t="s">
        <v>140</v>
      </c>
      <c r="K33" s="4" t="s">
        <v>921</v>
      </c>
      <c r="L33" s="4" t="s">
        <v>40</v>
      </c>
      <c r="M33" s="4" t="s">
        <v>29</v>
      </c>
      <c r="N33" s="4" t="s">
        <v>30</v>
      </c>
      <c r="O33" s="4" t="s">
        <v>49</v>
      </c>
      <c r="P33" s="4" t="s">
        <v>141</v>
      </c>
      <c r="Q33" s="4" t="s">
        <v>142</v>
      </c>
      <c r="R33" s="11" t="s">
        <v>58</v>
      </c>
      <c r="S33" s="4" t="s">
        <v>69</v>
      </c>
      <c r="T33" s="4" t="s">
        <v>823</v>
      </c>
    </row>
    <row r="34" spans="2:20" x14ac:dyDescent="0.25">
      <c r="B34" s="7">
        <v>22</v>
      </c>
      <c r="C34" s="7" t="s">
        <v>21</v>
      </c>
      <c r="D34" s="8" t="s">
        <v>22</v>
      </c>
      <c r="E34" s="8">
        <v>3</v>
      </c>
      <c r="F34" s="7" t="s">
        <v>144</v>
      </c>
      <c r="G34" s="10" t="s">
        <v>24</v>
      </c>
      <c r="H34" s="13" t="s">
        <v>145</v>
      </c>
      <c r="I34" s="9">
        <f>2399757.23-5000-42504.165-12000-7664-5000-3210</f>
        <v>2324379.0649999999</v>
      </c>
      <c r="J34" s="13" t="s">
        <v>146</v>
      </c>
      <c r="K34" s="8" t="s">
        <v>921</v>
      </c>
      <c r="L34" s="8" t="s">
        <v>40</v>
      </c>
      <c r="M34" s="8" t="s">
        <v>29</v>
      </c>
      <c r="N34" s="8" t="s">
        <v>30</v>
      </c>
      <c r="O34" s="8" t="s">
        <v>49</v>
      </c>
      <c r="P34" s="8" t="s">
        <v>147</v>
      </c>
      <c r="Q34" s="7" t="s">
        <v>148</v>
      </c>
      <c r="R34" s="12" t="s">
        <v>58</v>
      </c>
      <c r="S34" s="8" t="s">
        <v>69</v>
      </c>
      <c r="T34" s="7" t="s">
        <v>149</v>
      </c>
    </row>
    <row r="35" spans="2:20" x14ac:dyDescent="0.25">
      <c r="B35" s="3">
        <v>23</v>
      </c>
      <c r="C35" s="3" t="s">
        <v>21</v>
      </c>
      <c r="D35" s="4" t="s">
        <v>22</v>
      </c>
      <c r="E35" s="4">
        <v>3</v>
      </c>
      <c r="F35" s="3" t="s">
        <v>150</v>
      </c>
      <c r="G35" s="6" t="s">
        <v>24</v>
      </c>
      <c r="H35" s="14" t="s">
        <v>151</v>
      </c>
      <c r="I35" s="5">
        <v>13208</v>
      </c>
      <c r="J35" s="14" t="s">
        <v>152</v>
      </c>
      <c r="K35" s="4" t="s">
        <v>921</v>
      </c>
      <c r="L35" s="4" t="s">
        <v>40</v>
      </c>
      <c r="M35" s="4" t="s">
        <v>29</v>
      </c>
      <c r="N35" s="4" t="s">
        <v>29</v>
      </c>
      <c r="O35" s="4" t="s">
        <v>31</v>
      </c>
      <c r="P35" s="4" t="s">
        <v>153</v>
      </c>
      <c r="Q35" s="4" t="s">
        <v>154</v>
      </c>
      <c r="R35" s="11">
        <v>45552</v>
      </c>
      <c r="S35" s="4" t="s">
        <v>34</v>
      </c>
      <c r="T35" s="4" t="s">
        <v>155</v>
      </c>
    </row>
    <row r="36" spans="2:20" x14ac:dyDescent="0.25">
      <c r="B36" s="7"/>
      <c r="C36" s="7"/>
      <c r="D36" s="8"/>
      <c r="E36" s="8"/>
      <c r="F36" s="7"/>
      <c r="G36" s="10"/>
      <c r="H36" s="13" t="s">
        <v>76</v>
      </c>
      <c r="I36" s="9"/>
      <c r="J36" s="13"/>
      <c r="K36" s="8"/>
      <c r="L36" s="8"/>
      <c r="M36" s="8"/>
      <c r="N36" s="8"/>
      <c r="O36" s="8"/>
      <c r="P36" s="8"/>
      <c r="Q36" s="7"/>
      <c r="R36" s="12"/>
      <c r="S36" s="8"/>
      <c r="T36" s="7"/>
    </row>
    <row r="37" spans="2:20" x14ac:dyDescent="0.25">
      <c r="B37" s="3">
        <v>24</v>
      </c>
      <c r="C37" s="3" t="s">
        <v>21</v>
      </c>
      <c r="D37" s="4" t="s">
        <v>22</v>
      </c>
      <c r="E37" s="4">
        <v>3</v>
      </c>
      <c r="F37" s="3" t="s">
        <v>156</v>
      </c>
      <c r="G37" s="6" t="s">
        <v>24</v>
      </c>
      <c r="H37" s="14" t="s">
        <v>157</v>
      </c>
      <c r="I37" s="5">
        <f>2230.48+2298.89*4/12</f>
        <v>2996.7766666666666</v>
      </c>
      <c r="J37" s="14" t="s">
        <v>158</v>
      </c>
      <c r="K37" s="4" t="s">
        <v>921</v>
      </c>
      <c r="L37" s="4" t="s">
        <v>40</v>
      </c>
      <c r="M37" s="4" t="s">
        <v>29</v>
      </c>
      <c r="N37" s="4" t="s">
        <v>29</v>
      </c>
      <c r="O37" s="4" t="s">
        <v>160</v>
      </c>
      <c r="P37" s="4" t="s">
        <v>161</v>
      </c>
      <c r="Q37" s="4" t="s">
        <v>873</v>
      </c>
      <c r="R37" s="11">
        <v>45410</v>
      </c>
      <c r="S37" s="4" t="s">
        <v>34</v>
      </c>
      <c r="T37" s="4" t="s">
        <v>159</v>
      </c>
    </row>
    <row r="38" spans="2:20" x14ac:dyDescent="0.25">
      <c r="B38" s="7">
        <v>25.1</v>
      </c>
      <c r="C38" s="7" t="s">
        <v>21</v>
      </c>
      <c r="D38" s="8" t="s">
        <v>22</v>
      </c>
      <c r="E38" s="8">
        <v>3</v>
      </c>
      <c r="F38" s="7" t="s">
        <v>77</v>
      </c>
      <c r="G38" s="10" t="s">
        <v>24</v>
      </c>
      <c r="H38" s="13" t="s">
        <v>162</v>
      </c>
      <c r="I38" s="9">
        <f>3820000-211316-2159641</f>
        <v>1449043</v>
      </c>
      <c r="J38" s="13" t="s">
        <v>163</v>
      </c>
      <c r="K38" s="8" t="s">
        <v>921</v>
      </c>
      <c r="L38" s="8" t="s">
        <v>40</v>
      </c>
      <c r="M38" s="8" t="s">
        <v>29</v>
      </c>
      <c r="N38" s="8" t="s">
        <v>30</v>
      </c>
      <c r="O38" s="8" t="s">
        <v>49</v>
      </c>
      <c r="P38" s="8" t="s">
        <v>164</v>
      </c>
      <c r="Q38" s="7" t="s">
        <v>165</v>
      </c>
      <c r="R38" s="12"/>
      <c r="S38" s="8" t="s">
        <v>69</v>
      </c>
      <c r="T38" s="7" t="s">
        <v>143</v>
      </c>
    </row>
    <row r="39" spans="2:20" x14ac:dyDescent="0.25">
      <c r="B39" s="3">
        <v>25.2</v>
      </c>
      <c r="C39" s="3" t="s">
        <v>21</v>
      </c>
      <c r="D39" s="4" t="s">
        <v>22</v>
      </c>
      <c r="E39" s="4">
        <v>3</v>
      </c>
      <c r="F39" s="3" t="s">
        <v>77</v>
      </c>
      <c r="G39" s="6" t="s">
        <v>24</v>
      </c>
      <c r="H39" s="14" t="s">
        <v>162</v>
      </c>
      <c r="I39" s="5">
        <f>2159641</f>
        <v>2159641</v>
      </c>
      <c r="J39" s="14" t="s">
        <v>163</v>
      </c>
      <c r="K39" s="4" t="s">
        <v>921</v>
      </c>
      <c r="L39" s="4" t="s">
        <v>40</v>
      </c>
      <c r="M39" s="4" t="s">
        <v>29</v>
      </c>
      <c r="N39" s="4" t="s">
        <v>30</v>
      </c>
      <c r="O39" s="4" t="s">
        <v>95</v>
      </c>
      <c r="P39" s="4" t="s">
        <v>881</v>
      </c>
      <c r="Q39" s="4"/>
      <c r="R39" s="11">
        <v>45437</v>
      </c>
      <c r="S39" s="4" t="s">
        <v>69</v>
      </c>
      <c r="T39" s="4" t="s">
        <v>143</v>
      </c>
    </row>
    <row r="40" spans="2:20" x14ac:dyDescent="0.25">
      <c r="B40" s="7">
        <v>26</v>
      </c>
      <c r="C40" s="7" t="s">
        <v>21</v>
      </c>
      <c r="D40" s="8" t="s">
        <v>22</v>
      </c>
      <c r="E40" s="8">
        <v>3</v>
      </c>
      <c r="F40" s="7" t="s">
        <v>166</v>
      </c>
      <c r="G40" s="10" t="s">
        <v>24</v>
      </c>
      <c r="H40" s="13" t="s">
        <v>167</v>
      </c>
      <c r="I40" s="107">
        <f>2019095.9-17090+12316.29+100000+49024.04</f>
        <v>2163346.23</v>
      </c>
      <c r="J40" s="13" t="s">
        <v>168</v>
      </c>
      <c r="K40" s="8" t="s">
        <v>921</v>
      </c>
      <c r="L40" s="8" t="s">
        <v>40</v>
      </c>
      <c r="M40" s="8" t="s">
        <v>29</v>
      </c>
      <c r="N40" s="8" t="s">
        <v>30</v>
      </c>
      <c r="O40" s="8" t="s">
        <v>31</v>
      </c>
      <c r="P40" s="8" t="s">
        <v>169</v>
      </c>
      <c r="Q40" s="7" t="s">
        <v>170</v>
      </c>
      <c r="R40" s="12">
        <v>45506</v>
      </c>
      <c r="S40" s="8" t="s">
        <v>69</v>
      </c>
      <c r="T40" s="7" t="s">
        <v>824</v>
      </c>
    </row>
    <row r="41" spans="2:20" x14ac:dyDescent="0.25">
      <c r="B41" s="3">
        <v>27</v>
      </c>
      <c r="C41" s="3" t="s">
        <v>21</v>
      </c>
      <c r="D41" s="4" t="s">
        <v>22</v>
      </c>
      <c r="E41" s="4">
        <v>3</v>
      </c>
      <c r="F41" s="3" t="s">
        <v>171</v>
      </c>
      <c r="G41" s="6" t="s">
        <v>24</v>
      </c>
      <c r="H41" s="14" t="s">
        <v>172</v>
      </c>
      <c r="I41" s="5">
        <v>108421.68</v>
      </c>
      <c r="J41" s="14" t="s">
        <v>173</v>
      </c>
      <c r="K41" s="4" t="s">
        <v>921</v>
      </c>
      <c r="L41" s="4" t="s">
        <v>40</v>
      </c>
      <c r="M41" s="4" t="s">
        <v>29</v>
      </c>
      <c r="N41" s="4" t="s">
        <v>30</v>
      </c>
      <c r="O41" s="4" t="s">
        <v>49</v>
      </c>
      <c r="P41" s="4" t="s">
        <v>174</v>
      </c>
      <c r="Q41" s="4" t="s">
        <v>175</v>
      </c>
      <c r="R41" s="11" t="s">
        <v>58</v>
      </c>
      <c r="S41" s="4" t="s">
        <v>69</v>
      </c>
      <c r="T41" s="4" t="s">
        <v>827</v>
      </c>
    </row>
    <row r="42" spans="2:20" x14ac:dyDescent="0.25">
      <c r="B42" s="7">
        <v>28</v>
      </c>
      <c r="C42" s="7" t="s">
        <v>21</v>
      </c>
      <c r="D42" s="8" t="s">
        <v>22</v>
      </c>
      <c r="E42" s="8">
        <v>3</v>
      </c>
      <c r="F42" s="7" t="s">
        <v>171</v>
      </c>
      <c r="G42" s="10" t="s">
        <v>24</v>
      </c>
      <c r="H42" s="13" t="s">
        <v>177</v>
      </c>
      <c r="I42" s="9">
        <v>34783.9</v>
      </c>
      <c r="J42" s="13" t="s">
        <v>178</v>
      </c>
      <c r="K42" s="8" t="s">
        <v>921</v>
      </c>
      <c r="L42" s="8" t="s">
        <v>40</v>
      </c>
      <c r="M42" s="8" t="s">
        <v>29</v>
      </c>
      <c r="N42" s="8" t="s">
        <v>30</v>
      </c>
      <c r="O42" s="8" t="s">
        <v>49</v>
      </c>
      <c r="P42" s="8" t="s">
        <v>179</v>
      </c>
      <c r="Q42" s="7" t="s">
        <v>180</v>
      </c>
      <c r="R42" s="12" t="s">
        <v>58</v>
      </c>
      <c r="S42" s="8" t="s">
        <v>69</v>
      </c>
      <c r="T42" s="7" t="s">
        <v>827</v>
      </c>
    </row>
    <row r="43" spans="2:20" x14ac:dyDescent="0.25">
      <c r="B43" s="3">
        <v>29.1</v>
      </c>
      <c r="C43" s="3" t="s">
        <v>21</v>
      </c>
      <c r="D43" s="4" t="s">
        <v>22</v>
      </c>
      <c r="E43" s="4">
        <v>3</v>
      </c>
      <c r="F43" s="3" t="s">
        <v>77</v>
      </c>
      <c r="G43" s="6" t="s">
        <v>24</v>
      </c>
      <c r="H43" s="14" t="s">
        <v>182</v>
      </c>
      <c r="I43" s="5">
        <f>10394166.79+3568.784+1736434</f>
        <v>12134169.573999999</v>
      </c>
      <c r="J43" s="14" t="s">
        <v>183</v>
      </c>
      <c r="K43" s="4" t="s">
        <v>921</v>
      </c>
      <c r="L43" s="4" t="s">
        <v>40</v>
      </c>
      <c r="M43" s="4" t="s">
        <v>29</v>
      </c>
      <c r="N43" s="4" t="s">
        <v>30</v>
      </c>
      <c r="O43" s="4" t="s">
        <v>49</v>
      </c>
      <c r="P43" s="4" t="s">
        <v>184</v>
      </c>
      <c r="Q43" s="4" t="s">
        <v>185</v>
      </c>
      <c r="R43" s="11" t="s">
        <v>58</v>
      </c>
      <c r="S43" s="4" t="s">
        <v>43</v>
      </c>
      <c r="T43" s="4" t="s">
        <v>143</v>
      </c>
    </row>
    <row r="44" spans="2:20" x14ac:dyDescent="0.25">
      <c r="B44" s="7">
        <v>29.2</v>
      </c>
      <c r="C44" s="7" t="s">
        <v>21</v>
      </c>
      <c r="D44" s="8" t="s">
        <v>22</v>
      </c>
      <c r="E44" s="8">
        <v>3</v>
      </c>
      <c r="F44" s="7" t="s">
        <v>77</v>
      </c>
      <c r="G44" s="10" t="s">
        <v>24</v>
      </c>
      <c r="H44" s="13" t="s">
        <v>182</v>
      </c>
      <c r="I44" s="9">
        <v>0</v>
      </c>
      <c r="J44" s="13" t="s">
        <v>183</v>
      </c>
      <c r="K44" s="8" t="s">
        <v>921</v>
      </c>
      <c r="L44" s="8" t="s">
        <v>40</v>
      </c>
      <c r="M44" s="8" t="s">
        <v>29</v>
      </c>
      <c r="N44" s="8" t="s">
        <v>30</v>
      </c>
      <c r="O44" s="8" t="s">
        <v>95</v>
      </c>
      <c r="P44" s="8" t="s">
        <v>882</v>
      </c>
      <c r="Q44" s="7"/>
      <c r="R44" s="12" t="s">
        <v>58</v>
      </c>
      <c r="S44" s="8" t="s">
        <v>43</v>
      </c>
      <c r="T44" s="7" t="s">
        <v>143</v>
      </c>
    </row>
    <row r="45" spans="2:20" x14ac:dyDescent="0.25">
      <c r="B45" s="3">
        <v>30</v>
      </c>
      <c r="C45" s="3" t="s">
        <v>21</v>
      </c>
      <c r="D45" s="4" t="s">
        <v>22</v>
      </c>
      <c r="E45" s="4">
        <v>3</v>
      </c>
      <c r="F45" s="3" t="s">
        <v>77</v>
      </c>
      <c r="G45" s="6" t="s">
        <v>24</v>
      </c>
      <c r="H45" s="14" t="s">
        <v>186</v>
      </c>
      <c r="I45" s="5">
        <v>691685.81</v>
      </c>
      <c r="J45" s="14" t="s">
        <v>187</v>
      </c>
      <c r="K45" s="4" t="s">
        <v>923</v>
      </c>
      <c r="L45" s="4" t="s">
        <v>40</v>
      </c>
      <c r="M45" s="4" t="s">
        <v>29</v>
      </c>
      <c r="N45" s="4" t="s">
        <v>30</v>
      </c>
      <c r="O45" s="4" t="s">
        <v>31</v>
      </c>
      <c r="P45" s="4" t="s">
        <v>188</v>
      </c>
      <c r="Q45" s="4" t="s">
        <v>189</v>
      </c>
      <c r="R45" s="11">
        <v>45438</v>
      </c>
      <c r="S45" s="4" t="s">
        <v>34</v>
      </c>
      <c r="T45" s="4" t="s">
        <v>143</v>
      </c>
    </row>
    <row r="46" spans="2:20" x14ac:dyDescent="0.25">
      <c r="B46" s="7">
        <v>31</v>
      </c>
      <c r="C46" s="7" t="s">
        <v>21</v>
      </c>
      <c r="D46" s="8" t="s">
        <v>22</v>
      </c>
      <c r="E46" s="8">
        <v>3</v>
      </c>
      <c r="F46" s="7" t="s">
        <v>190</v>
      </c>
      <c r="G46" s="10" t="s">
        <v>24</v>
      </c>
      <c r="H46" s="13" t="s">
        <v>191</v>
      </c>
      <c r="I46" s="9">
        <v>52456.68</v>
      </c>
      <c r="J46" s="13" t="s">
        <v>192</v>
      </c>
      <c r="K46" s="8" t="s">
        <v>923</v>
      </c>
      <c r="L46" s="8" t="s">
        <v>40</v>
      </c>
      <c r="M46" s="8" t="s">
        <v>29</v>
      </c>
      <c r="N46" s="8" t="s">
        <v>30</v>
      </c>
      <c r="O46" s="8" t="s">
        <v>31</v>
      </c>
      <c r="P46" s="8" t="s">
        <v>193</v>
      </c>
      <c r="Q46" s="7" t="s">
        <v>194</v>
      </c>
      <c r="R46" s="12">
        <v>45565</v>
      </c>
      <c r="S46" s="8" t="s">
        <v>34</v>
      </c>
      <c r="T46" s="7" t="s">
        <v>195</v>
      </c>
    </row>
    <row r="47" spans="2:20" x14ac:dyDescent="0.25">
      <c r="B47" s="3">
        <v>32</v>
      </c>
      <c r="C47" s="3" t="s">
        <v>21</v>
      </c>
      <c r="D47" s="4" t="s">
        <v>22</v>
      </c>
      <c r="E47" s="4">
        <v>3</v>
      </c>
      <c r="F47" s="3" t="s">
        <v>196</v>
      </c>
      <c r="G47" s="6" t="s">
        <v>24</v>
      </c>
      <c r="H47" s="14" t="s">
        <v>197</v>
      </c>
      <c r="I47" s="5">
        <f>13100000-459364-19974-893-150396-54326-60004-12316.29-33000+7778</f>
        <v>12317504.710000001</v>
      </c>
      <c r="J47" s="14" t="s">
        <v>198</v>
      </c>
      <c r="K47" s="4" t="s">
        <v>923</v>
      </c>
      <c r="L47" s="4" t="s">
        <v>40</v>
      </c>
      <c r="M47" s="4" t="s">
        <v>29</v>
      </c>
      <c r="N47" s="4" t="s">
        <v>30</v>
      </c>
      <c r="O47" s="4" t="s">
        <v>31</v>
      </c>
      <c r="P47" s="4" t="s">
        <v>199</v>
      </c>
      <c r="Q47" s="4" t="s">
        <v>200</v>
      </c>
      <c r="R47" s="11">
        <v>45321</v>
      </c>
      <c r="S47" s="4" t="s">
        <v>34</v>
      </c>
      <c r="T47" s="4" t="s">
        <v>201</v>
      </c>
    </row>
    <row r="48" spans="2:20" x14ac:dyDescent="0.25">
      <c r="B48" s="7">
        <v>33</v>
      </c>
      <c r="C48" s="7" t="s">
        <v>21</v>
      </c>
      <c r="D48" s="8" t="s">
        <v>22</v>
      </c>
      <c r="E48" s="8">
        <v>3</v>
      </c>
      <c r="F48" s="7" t="s">
        <v>97</v>
      </c>
      <c r="G48" s="10" t="s">
        <v>24</v>
      </c>
      <c r="H48" s="13" t="s">
        <v>202</v>
      </c>
      <c r="I48" s="9">
        <v>12950.53</v>
      </c>
      <c r="J48" s="13" t="s">
        <v>203</v>
      </c>
      <c r="K48" s="8" t="s">
        <v>923</v>
      </c>
      <c r="L48" s="8" t="s">
        <v>40</v>
      </c>
      <c r="M48" s="8" t="s">
        <v>29</v>
      </c>
      <c r="N48" s="8" t="s">
        <v>30</v>
      </c>
      <c r="O48" s="8" t="s">
        <v>95</v>
      </c>
      <c r="P48" s="8" t="s">
        <v>112</v>
      </c>
      <c r="Q48" s="7"/>
      <c r="R48" s="12">
        <v>45534</v>
      </c>
      <c r="S48" s="8" t="s">
        <v>43</v>
      </c>
      <c r="T48" s="7" t="s">
        <v>204</v>
      </c>
    </row>
    <row r="49" spans="2:20" x14ac:dyDescent="0.25">
      <c r="B49" s="3">
        <v>34</v>
      </c>
      <c r="C49" s="3" t="s">
        <v>21</v>
      </c>
      <c r="D49" s="4" t="s">
        <v>22</v>
      </c>
      <c r="E49" s="4">
        <v>4</v>
      </c>
      <c r="F49" s="3" t="s">
        <v>128</v>
      </c>
      <c r="G49" s="6" t="s">
        <v>24</v>
      </c>
      <c r="H49" s="14" t="s">
        <v>205</v>
      </c>
      <c r="I49" s="126">
        <f>170000-3568.7840000001-30000+14000+12094+46656.4</f>
        <v>209181.61599999989</v>
      </c>
      <c r="J49" s="14" t="s">
        <v>206</v>
      </c>
      <c r="K49" s="4" t="s">
        <v>923</v>
      </c>
      <c r="L49" s="4" t="s">
        <v>40</v>
      </c>
      <c r="M49" s="4" t="s">
        <v>29</v>
      </c>
      <c r="N49" s="4" t="s">
        <v>29</v>
      </c>
      <c r="O49" s="4" t="s">
        <v>95</v>
      </c>
      <c r="P49" s="4" t="s">
        <v>207</v>
      </c>
      <c r="Q49" s="4"/>
      <c r="R49" s="11">
        <v>45350</v>
      </c>
      <c r="S49" s="4" t="s">
        <v>43</v>
      </c>
      <c r="T49" s="4" t="s">
        <v>208</v>
      </c>
    </row>
    <row r="50" spans="2:20" x14ac:dyDescent="0.25">
      <c r="B50" s="7">
        <v>35</v>
      </c>
      <c r="C50" s="7" t="s">
        <v>21</v>
      </c>
      <c r="D50" s="8" t="s">
        <v>22</v>
      </c>
      <c r="E50" s="8">
        <v>4</v>
      </c>
      <c r="F50" s="7" t="s">
        <v>209</v>
      </c>
      <c r="G50" s="10" t="s">
        <v>24</v>
      </c>
      <c r="H50" s="13" t="s">
        <v>210</v>
      </c>
      <c r="I50" s="9">
        <v>6000</v>
      </c>
      <c r="J50" s="13" t="s">
        <v>211</v>
      </c>
      <c r="K50" s="8" t="s">
        <v>923</v>
      </c>
      <c r="L50" s="8" t="s">
        <v>40</v>
      </c>
      <c r="M50" s="8" t="s">
        <v>29</v>
      </c>
      <c r="N50" s="8" t="s">
        <v>29</v>
      </c>
      <c r="O50" s="8" t="s">
        <v>160</v>
      </c>
      <c r="P50" s="8" t="s">
        <v>112</v>
      </c>
      <c r="Q50" s="7"/>
      <c r="R50" s="12">
        <v>45442</v>
      </c>
      <c r="S50" s="8" t="s">
        <v>69</v>
      </c>
      <c r="T50" s="7" t="s">
        <v>212</v>
      </c>
    </row>
    <row r="51" spans="2:20" x14ac:dyDescent="0.25">
      <c r="B51" s="3">
        <v>36</v>
      </c>
      <c r="C51" s="3" t="s">
        <v>21</v>
      </c>
      <c r="D51" s="4" t="s">
        <v>22</v>
      </c>
      <c r="E51" s="4">
        <v>3</v>
      </c>
      <c r="F51" s="3" t="s">
        <v>213</v>
      </c>
      <c r="G51" s="6" t="s">
        <v>24</v>
      </c>
      <c r="H51" s="14" t="s">
        <v>214</v>
      </c>
      <c r="I51" s="5">
        <v>40000</v>
      </c>
      <c r="J51" s="14" t="s">
        <v>215</v>
      </c>
      <c r="K51" s="4" t="s">
        <v>923</v>
      </c>
      <c r="L51" s="4" t="s">
        <v>40</v>
      </c>
      <c r="M51" s="4" t="s">
        <v>29</v>
      </c>
      <c r="N51" s="4" t="s">
        <v>29</v>
      </c>
      <c r="O51" s="4" t="s">
        <v>95</v>
      </c>
      <c r="P51" s="4" t="s">
        <v>112</v>
      </c>
      <c r="Q51" s="4"/>
      <c r="R51" s="11">
        <v>45350</v>
      </c>
      <c r="S51" s="4" t="s">
        <v>69</v>
      </c>
      <c r="T51" s="4" t="s">
        <v>216</v>
      </c>
    </row>
    <row r="52" spans="2:20" x14ac:dyDescent="0.25">
      <c r="B52" s="7">
        <v>37</v>
      </c>
      <c r="C52" s="7" t="s">
        <v>21</v>
      </c>
      <c r="D52" s="8" t="s">
        <v>22</v>
      </c>
      <c r="E52" s="8">
        <v>4</v>
      </c>
      <c r="F52" s="7" t="s">
        <v>217</v>
      </c>
      <c r="G52" s="10" t="s">
        <v>24</v>
      </c>
      <c r="H52" s="13" t="s">
        <v>218</v>
      </c>
      <c r="I52" s="9">
        <f>30000+13000</f>
        <v>43000</v>
      </c>
      <c r="J52" s="13" t="s">
        <v>219</v>
      </c>
      <c r="K52" s="8" t="s">
        <v>923</v>
      </c>
      <c r="L52" s="8" t="s">
        <v>40</v>
      </c>
      <c r="M52" s="8" t="s">
        <v>29</v>
      </c>
      <c r="N52" s="8" t="s">
        <v>29</v>
      </c>
      <c r="O52" s="8" t="s">
        <v>95</v>
      </c>
      <c r="P52" s="8" t="s">
        <v>835</v>
      </c>
      <c r="Q52" s="7"/>
      <c r="R52" s="12">
        <v>45350</v>
      </c>
      <c r="S52" s="8" t="s">
        <v>69</v>
      </c>
      <c r="T52" s="7" t="s">
        <v>220</v>
      </c>
    </row>
    <row r="53" spans="2:20" x14ac:dyDescent="0.25">
      <c r="B53" s="3">
        <v>38</v>
      </c>
      <c r="C53" s="3" t="s">
        <v>21</v>
      </c>
      <c r="D53" s="4" t="s">
        <v>22</v>
      </c>
      <c r="E53" s="4">
        <v>3</v>
      </c>
      <c r="F53" s="3" t="s">
        <v>221</v>
      </c>
      <c r="G53" s="6" t="s">
        <v>24</v>
      </c>
      <c r="H53" s="14" t="s">
        <v>222</v>
      </c>
      <c r="I53" s="5">
        <v>40000</v>
      </c>
      <c r="J53" s="14" t="s">
        <v>223</v>
      </c>
      <c r="K53" s="4" t="s">
        <v>923</v>
      </c>
      <c r="L53" s="4" t="s">
        <v>40</v>
      </c>
      <c r="M53" s="4" t="s">
        <v>29</v>
      </c>
      <c r="N53" s="4" t="s">
        <v>29</v>
      </c>
      <c r="O53" s="4" t="s">
        <v>160</v>
      </c>
      <c r="P53" s="4" t="s">
        <v>112</v>
      </c>
      <c r="Q53" s="4"/>
      <c r="R53" s="11">
        <v>45350</v>
      </c>
      <c r="S53" s="4" t="s">
        <v>69</v>
      </c>
      <c r="T53" s="4" t="s">
        <v>224</v>
      </c>
    </row>
    <row r="54" spans="2:20" x14ac:dyDescent="0.25">
      <c r="B54" s="7">
        <v>39</v>
      </c>
      <c r="C54" s="7" t="s">
        <v>21</v>
      </c>
      <c r="D54" s="8" t="s">
        <v>22</v>
      </c>
      <c r="E54" s="8">
        <v>3</v>
      </c>
      <c r="F54" s="7" t="s">
        <v>225</v>
      </c>
      <c r="G54" s="10" t="s">
        <v>24</v>
      </c>
      <c r="H54" s="13" t="s">
        <v>226</v>
      </c>
      <c r="I54" s="9">
        <v>34000</v>
      </c>
      <c r="J54" s="13" t="s">
        <v>227</v>
      </c>
      <c r="K54" s="8" t="s">
        <v>928</v>
      </c>
      <c r="L54" s="8" t="s">
        <v>40</v>
      </c>
      <c r="M54" s="8" t="s">
        <v>29</v>
      </c>
      <c r="N54" s="8" t="s">
        <v>29</v>
      </c>
      <c r="O54" s="8" t="s">
        <v>228</v>
      </c>
      <c r="P54" s="8" t="s">
        <v>58</v>
      </c>
      <c r="Q54" s="7" t="s">
        <v>58</v>
      </c>
      <c r="R54" s="12" t="s">
        <v>58</v>
      </c>
      <c r="S54" s="8" t="s">
        <v>34</v>
      </c>
      <c r="T54" s="7"/>
    </row>
    <row r="55" spans="2:20" x14ac:dyDescent="0.25">
      <c r="B55" s="3">
        <v>40</v>
      </c>
      <c r="C55" s="3" t="s">
        <v>21</v>
      </c>
      <c r="D55" s="4" t="s">
        <v>22</v>
      </c>
      <c r="E55" s="4">
        <v>3</v>
      </c>
      <c r="F55" s="3" t="s">
        <v>229</v>
      </c>
      <c r="G55" s="6" t="s">
        <v>24</v>
      </c>
      <c r="H55" s="14" t="s">
        <v>230</v>
      </c>
      <c r="I55" s="5">
        <v>9635</v>
      </c>
      <c r="J55" s="14" t="s">
        <v>231</v>
      </c>
      <c r="K55" s="4" t="s">
        <v>928</v>
      </c>
      <c r="L55" s="4" t="s">
        <v>40</v>
      </c>
      <c r="M55" s="4" t="s">
        <v>29</v>
      </c>
      <c r="N55" s="4" t="s">
        <v>29</v>
      </c>
      <c r="O55" s="4" t="s">
        <v>31</v>
      </c>
      <c r="P55" s="4" t="s">
        <v>232</v>
      </c>
      <c r="Q55" s="4" t="s">
        <v>233</v>
      </c>
      <c r="R55" s="11">
        <v>45505</v>
      </c>
      <c r="S55" s="4" t="s">
        <v>69</v>
      </c>
      <c r="T55" s="4" t="s">
        <v>234</v>
      </c>
    </row>
    <row r="56" spans="2:20" x14ac:dyDescent="0.25">
      <c r="B56" s="7">
        <v>41</v>
      </c>
      <c r="C56" s="7" t="s">
        <v>21</v>
      </c>
      <c r="D56" s="8" t="s">
        <v>22</v>
      </c>
      <c r="E56" s="8">
        <v>3</v>
      </c>
      <c r="F56" s="7" t="s">
        <v>104</v>
      </c>
      <c r="G56" s="10" t="s">
        <v>24</v>
      </c>
      <c r="H56" s="13" t="s">
        <v>235</v>
      </c>
      <c r="I56" s="9">
        <v>60000</v>
      </c>
      <c r="J56" s="13" t="s">
        <v>236</v>
      </c>
      <c r="K56" s="8" t="s">
        <v>930</v>
      </c>
      <c r="L56" s="8" t="s">
        <v>40</v>
      </c>
      <c r="M56" s="8" t="s">
        <v>30</v>
      </c>
      <c r="N56" s="8" t="s">
        <v>30</v>
      </c>
      <c r="O56" s="8" t="s">
        <v>95</v>
      </c>
      <c r="P56" s="8" t="s">
        <v>112</v>
      </c>
      <c r="Q56" s="7"/>
      <c r="R56" s="12">
        <v>45355</v>
      </c>
      <c r="S56" s="8" t="s">
        <v>69</v>
      </c>
      <c r="T56" s="7" t="s">
        <v>237</v>
      </c>
    </row>
    <row r="57" spans="2:20" x14ac:dyDescent="0.25">
      <c r="B57" s="3">
        <v>42</v>
      </c>
      <c r="C57" s="3" t="s">
        <v>21</v>
      </c>
      <c r="D57" s="4" t="s">
        <v>22</v>
      </c>
      <c r="E57" s="4">
        <v>3</v>
      </c>
      <c r="F57" s="3" t="s">
        <v>65</v>
      </c>
      <c r="G57" s="6" t="s">
        <v>24</v>
      </c>
      <c r="H57" s="14" t="s">
        <v>238</v>
      </c>
      <c r="I57" s="5">
        <v>36829.93</v>
      </c>
      <c r="J57" s="14" t="s">
        <v>236</v>
      </c>
      <c r="K57" s="4" t="s">
        <v>930</v>
      </c>
      <c r="L57" s="4" t="s">
        <v>40</v>
      </c>
      <c r="M57" s="4" t="s">
        <v>29</v>
      </c>
      <c r="N57" s="4" t="s">
        <v>30</v>
      </c>
      <c r="O57" s="4" t="s">
        <v>160</v>
      </c>
      <c r="P57" s="4" t="s">
        <v>112</v>
      </c>
      <c r="Q57" s="4"/>
      <c r="R57" s="11">
        <v>45323</v>
      </c>
      <c r="S57" s="4" t="s">
        <v>34</v>
      </c>
      <c r="T57" s="4" t="s">
        <v>239</v>
      </c>
    </row>
    <row r="58" spans="2:20" x14ac:dyDescent="0.25">
      <c r="B58" s="7">
        <v>43</v>
      </c>
      <c r="C58" s="7" t="s">
        <v>21</v>
      </c>
      <c r="D58" s="8" t="s">
        <v>22</v>
      </c>
      <c r="E58" s="8">
        <v>3</v>
      </c>
      <c r="F58" s="7" t="s">
        <v>71</v>
      </c>
      <c r="G58" s="10" t="s">
        <v>24</v>
      </c>
      <c r="H58" s="13" t="s">
        <v>240</v>
      </c>
      <c r="I58" s="9">
        <v>38748.269999999997</v>
      </c>
      <c r="J58" s="13" t="s">
        <v>236</v>
      </c>
      <c r="K58" s="8" t="s">
        <v>930</v>
      </c>
      <c r="L58" s="8" t="s">
        <v>40</v>
      </c>
      <c r="M58" s="8" t="s">
        <v>29</v>
      </c>
      <c r="N58" s="8" t="s">
        <v>30</v>
      </c>
      <c r="O58" s="8" t="s">
        <v>160</v>
      </c>
      <c r="P58" s="8" t="s">
        <v>241</v>
      </c>
      <c r="Q58" s="119" t="s">
        <v>907</v>
      </c>
      <c r="R58" s="12">
        <v>45379</v>
      </c>
      <c r="S58" s="8" t="s">
        <v>34</v>
      </c>
      <c r="T58" s="7" t="s">
        <v>242</v>
      </c>
    </row>
    <row r="59" spans="2:20" x14ac:dyDescent="0.25">
      <c r="B59" s="119">
        <v>44.1</v>
      </c>
      <c r="C59" s="3" t="s">
        <v>21</v>
      </c>
      <c r="D59" s="4" t="s">
        <v>22</v>
      </c>
      <c r="E59" s="4">
        <v>3</v>
      </c>
      <c r="F59" s="3" t="s">
        <v>65</v>
      </c>
      <c r="G59" s="6" t="s">
        <v>24</v>
      </c>
      <c r="H59" s="14" t="s">
        <v>243</v>
      </c>
      <c r="I59" s="5">
        <v>42235.61</v>
      </c>
      <c r="J59" s="14" t="s">
        <v>236</v>
      </c>
      <c r="K59" s="4" t="s">
        <v>930</v>
      </c>
      <c r="L59" s="4" t="s">
        <v>40</v>
      </c>
      <c r="M59" s="4" t="s">
        <v>29</v>
      </c>
      <c r="N59" s="4" t="s">
        <v>30</v>
      </c>
      <c r="O59" s="4" t="s">
        <v>160</v>
      </c>
      <c r="P59" s="4" t="s">
        <v>875</v>
      </c>
      <c r="Q59" s="142" t="s">
        <v>932</v>
      </c>
      <c r="R59" s="11">
        <v>45292</v>
      </c>
      <c r="S59" s="4" t="s">
        <v>34</v>
      </c>
      <c r="T59" s="4" t="s">
        <v>244</v>
      </c>
    </row>
    <row r="60" spans="2:20" x14ac:dyDescent="0.25">
      <c r="B60" s="120">
        <v>44.2</v>
      </c>
      <c r="C60" s="3" t="s">
        <v>21</v>
      </c>
      <c r="D60" s="4" t="s">
        <v>22</v>
      </c>
      <c r="E60" s="3">
        <v>3</v>
      </c>
      <c r="F60" s="3"/>
      <c r="G60" s="6" t="s">
        <v>24</v>
      </c>
      <c r="H60" s="14" t="s">
        <v>892</v>
      </c>
      <c r="I60" s="122">
        <v>6961.33</v>
      </c>
      <c r="J60" s="14" t="s">
        <v>236</v>
      </c>
      <c r="K60" s="4" t="s">
        <v>930</v>
      </c>
      <c r="L60" s="4" t="s">
        <v>40</v>
      </c>
      <c r="M60" s="4" t="s">
        <v>30</v>
      </c>
      <c r="N60" s="4" t="s">
        <v>29</v>
      </c>
      <c r="O60" s="4" t="s">
        <v>160</v>
      </c>
      <c r="P60" s="4" t="s">
        <v>894</v>
      </c>
      <c r="Q60" s="110"/>
      <c r="R60" s="125">
        <v>45446</v>
      </c>
      <c r="S60" s="4" t="s">
        <v>34</v>
      </c>
      <c r="T60" s="4" t="s">
        <v>893</v>
      </c>
    </row>
    <row r="61" spans="2:20" x14ac:dyDescent="0.25">
      <c r="B61" s="7">
        <v>45</v>
      </c>
      <c r="C61" s="7" t="s">
        <v>21</v>
      </c>
      <c r="D61" s="8" t="s">
        <v>22</v>
      </c>
      <c r="E61" s="8">
        <v>4</v>
      </c>
      <c r="F61" s="7" t="s">
        <v>245</v>
      </c>
      <c r="G61" s="10" t="s">
        <v>24</v>
      </c>
      <c r="H61" s="13" t="s">
        <v>246</v>
      </c>
      <c r="I61" s="9">
        <v>126284.6</v>
      </c>
      <c r="J61" s="13" t="s">
        <v>247</v>
      </c>
      <c r="K61" s="8" t="s">
        <v>930</v>
      </c>
      <c r="L61" s="8" t="s">
        <v>40</v>
      </c>
      <c r="M61" s="8" t="s">
        <v>30</v>
      </c>
      <c r="N61" s="8" t="s">
        <v>29</v>
      </c>
      <c r="O61" s="8" t="s">
        <v>95</v>
      </c>
      <c r="P61" s="8" t="s">
        <v>112</v>
      </c>
      <c r="Q61" s="7"/>
      <c r="R61" s="12">
        <v>45444</v>
      </c>
      <c r="S61" s="8" t="s">
        <v>34</v>
      </c>
      <c r="T61" s="7"/>
    </row>
    <row r="62" spans="2:20" x14ac:dyDescent="0.25">
      <c r="B62" s="3">
        <v>46</v>
      </c>
      <c r="C62" s="3" t="s">
        <v>21</v>
      </c>
      <c r="D62" s="4" t="s">
        <v>22</v>
      </c>
      <c r="E62" s="4">
        <v>3</v>
      </c>
      <c r="F62" s="3" t="s">
        <v>248</v>
      </c>
      <c r="G62" s="6" t="s">
        <v>24</v>
      </c>
      <c r="H62" s="14" t="s">
        <v>249</v>
      </c>
      <c r="I62" s="124">
        <f>418595.12-2515-6961.33</f>
        <v>409118.79</v>
      </c>
      <c r="J62" s="14" t="s">
        <v>250</v>
      </c>
      <c r="K62" s="4" t="s">
        <v>930</v>
      </c>
      <c r="L62" s="4" t="s">
        <v>40</v>
      </c>
      <c r="M62" s="4" t="s">
        <v>29</v>
      </c>
      <c r="N62" s="4" t="s">
        <v>30</v>
      </c>
      <c r="O62" s="4" t="s">
        <v>58</v>
      </c>
      <c r="P62" s="4" t="s">
        <v>112</v>
      </c>
      <c r="Q62" s="4"/>
      <c r="R62" s="11">
        <v>45444</v>
      </c>
      <c r="S62" s="4" t="s">
        <v>69</v>
      </c>
      <c r="T62" s="4" t="s">
        <v>251</v>
      </c>
    </row>
    <row r="63" spans="2:20" x14ac:dyDescent="0.25">
      <c r="B63" s="7">
        <v>47</v>
      </c>
      <c r="C63" s="7" t="s">
        <v>21</v>
      </c>
      <c r="D63" s="8" t="s">
        <v>22</v>
      </c>
      <c r="E63" s="8">
        <v>3</v>
      </c>
      <c r="F63" s="7" t="s">
        <v>252</v>
      </c>
      <c r="G63" s="10" t="s">
        <v>24</v>
      </c>
      <c r="H63" s="13" t="s">
        <v>253</v>
      </c>
      <c r="I63" s="9">
        <v>1617010.1461999954</v>
      </c>
      <c r="J63" s="13" t="s">
        <v>236</v>
      </c>
      <c r="K63" s="8" t="s">
        <v>930</v>
      </c>
      <c r="L63" s="8" t="s">
        <v>40</v>
      </c>
      <c r="M63" s="8" t="s">
        <v>29</v>
      </c>
      <c r="N63" s="8" t="s">
        <v>30</v>
      </c>
      <c r="O63" s="8" t="s">
        <v>31</v>
      </c>
      <c r="P63" s="8" t="s">
        <v>254</v>
      </c>
      <c r="Q63" s="7" t="s">
        <v>255</v>
      </c>
      <c r="R63" s="12">
        <v>45501</v>
      </c>
      <c r="S63" s="8" t="s">
        <v>43</v>
      </c>
      <c r="T63" s="7" t="s">
        <v>256</v>
      </c>
    </row>
    <row r="64" spans="2:20" x14ac:dyDescent="0.25">
      <c r="B64" s="3">
        <v>48.1</v>
      </c>
      <c r="C64" s="3" t="s">
        <v>21</v>
      </c>
      <c r="D64" s="4" t="s">
        <v>22</v>
      </c>
      <c r="E64" s="4">
        <v>3</v>
      </c>
      <c r="F64" s="3" t="s">
        <v>257</v>
      </c>
      <c r="G64" s="6" t="s">
        <v>24</v>
      </c>
      <c r="H64" s="14" t="s">
        <v>258</v>
      </c>
      <c r="I64" s="124">
        <f>6100791.4902*3/12+1470114.75-373749</f>
        <v>2621563.6225500004</v>
      </c>
      <c r="J64" s="14" t="s">
        <v>236</v>
      </c>
      <c r="K64" s="4" t="s">
        <v>930</v>
      </c>
      <c r="L64" s="4" t="s">
        <v>40</v>
      </c>
      <c r="M64" s="4" t="s">
        <v>29</v>
      </c>
      <c r="N64" s="4" t="s">
        <v>30</v>
      </c>
      <c r="O64" s="4" t="s">
        <v>49</v>
      </c>
      <c r="P64" s="4" t="s">
        <v>259</v>
      </c>
      <c r="Q64" s="4" t="s">
        <v>260</v>
      </c>
      <c r="R64" s="11" t="s">
        <v>58</v>
      </c>
      <c r="S64" s="4" t="s">
        <v>43</v>
      </c>
      <c r="T64" s="4" t="s">
        <v>261</v>
      </c>
    </row>
    <row r="65" spans="2:20" x14ac:dyDescent="0.25">
      <c r="B65" s="7">
        <v>48.2</v>
      </c>
      <c r="C65" s="7" t="s">
        <v>21</v>
      </c>
      <c r="D65" s="8" t="s">
        <v>22</v>
      </c>
      <c r="E65" s="8">
        <v>3</v>
      </c>
      <c r="F65" s="7" t="s">
        <v>257</v>
      </c>
      <c r="G65" s="10" t="s">
        <v>24</v>
      </c>
      <c r="H65" s="13" t="s">
        <v>258</v>
      </c>
      <c r="I65" s="126">
        <f>6100791.4902*9/12-1470114.75+373749</f>
        <v>3479227.8676499994</v>
      </c>
      <c r="J65" s="13" t="s">
        <v>236</v>
      </c>
      <c r="K65" s="8" t="s">
        <v>930</v>
      </c>
      <c r="L65" s="8" t="s">
        <v>40</v>
      </c>
      <c r="M65" s="8" t="s">
        <v>29</v>
      </c>
      <c r="N65" s="8" t="s">
        <v>30</v>
      </c>
      <c r="O65" s="8" t="s">
        <v>95</v>
      </c>
      <c r="P65" s="142" t="s">
        <v>904</v>
      </c>
      <c r="Q65" s="7"/>
      <c r="R65" s="141">
        <v>45456</v>
      </c>
      <c r="S65" s="8" t="s">
        <v>43</v>
      </c>
      <c r="T65" s="7" t="s">
        <v>261</v>
      </c>
    </row>
    <row r="66" spans="2:20" x14ac:dyDescent="0.25">
      <c r="B66" s="3">
        <v>49.1</v>
      </c>
      <c r="C66" s="3" t="s">
        <v>21</v>
      </c>
      <c r="D66" s="4" t="s">
        <v>22</v>
      </c>
      <c r="E66" s="4">
        <v>3</v>
      </c>
      <c r="F66" s="3" t="s">
        <v>262</v>
      </c>
      <c r="G66" s="6" t="s">
        <v>24</v>
      </c>
      <c r="H66" s="14" t="s">
        <v>263</v>
      </c>
      <c r="I66" s="124">
        <f>3900000*9/12+893-1097000</f>
        <v>1828893</v>
      </c>
      <c r="J66" s="14" t="s">
        <v>264</v>
      </c>
      <c r="K66" s="4" t="s">
        <v>924</v>
      </c>
      <c r="L66" s="4" t="s">
        <v>266</v>
      </c>
      <c r="M66" s="4" t="s">
        <v>29</v>
      </c>
      <c r="N66" s="4" t="s">
        <v>30</v>
      </c>
      <c r="O66" s="4" t="s">
        <v>49</v>
      </c>
      <c r="P66" s="4" t="s">
        <v>267</v>
      </c>
      <c r="Q66" s="4" t="s">
        <v>268</v>
      </c>
      <c r="R66" s="11" t="s">
        <v>58</v>
      </c>
      <c r="S66" s="4" t="s">
        <v>69</v>
      </c>
      <c r="T66" s="4" t="s">
        <v>269</v>
      </c>
    </row>
    <row r="67" spans="2:20" x14ac:dyDescent="0.25">
      <c r="B67" s="7">
        <v>49.2</v>
      </c>
      <c r="C67" s="7" t="s">
        <v>21</v>
      </c>
      <c r="D67" s="8" t="s">
        <v>22</v>
      </c>
      <c r="E67" s="8">
        <v>3</v>
      </c>
      <c r="F67" s="7" t="s">
        <v>262</v>
      </c>
      <c r="G67" s="10" t="s">
        <v>24</v>
      </c>
      <c r="H67" s="13" t="s">
        <v>270</v>
      </c>
      <c r="I67" s="126">
        <f>3900000*3/12+1097000+28000</f>
        <v>2100000</v>
      </c>
      <c r="J67" s="13" t="s">
        <v>271</v>
      </c>
      <c r="K67" s="8" t="s">
        <v>924</v>
      </c>
      <c r="L67" s="8" t="s">
        <v>266</v>
      </c>
      <c r="M67" s="8" t="s">
        <v>29</v>
      </c>
      <c r="N67" s="8" t="s">
        <v>30</v>
      </c>
      <c r="O67" s="8" t="s">
        <v>95</v>
      </c>
      <c r="P67" s="8" t="s">
        <v>272</v>
      </c>
      <c r="Q67" s="142" t="s">
        <v>906</v>
      </c>
      <c r="R67" s="12">
        <v>45560</v>
      </c>
      <c r="S67" s="8" t="s">
        <v>69</v>
      </c>
      <c r="T67" s="7" t="s">
        <v>269</v>
      </c>
    </row>
    <row r="68" spans="2:20" x14ac:dyDescent="0.25">
      <c r="B68" s="3">
        <v>50.1</v>
      </c>
      <c r="C68" s="3" t="s">
        <v>21</v>
      </c>
      <c r="D68" s="4" t="s">
        <v>22</v>
      </c>
      <c r="E68" s="4">
        <v>3</v>
      </c>
      <c r="F68" s="3" t="s">
        <v>77</v>
      </c>
      <c r="G68" s="6" t="s">
        <v>24</v>
      </c>
      <c r="H68" s="14" t="s">
        <v>273</v>
      </c>
      <c r="I68" s="5">
        <f>1097531.63*11/12</f>
        <v>1006070.6608333333</v>
      </c>
      <c r="J68" s="14" t="s">
        <v>274</v>
      </c>
      <c r="K68" s="4" t="s">
        <v>925</v>
      </c>
      <c r="L68" s="4" t="s">
        <v>275</v>
      </c>
      <c r="M68" s="4" t="s">
        <v>29</v>
      </c>
      <c r="N68" s="4" t="s">
        <v>30</v>
      </c>
      <c r="O68" s="4" t="s">
        <v>49</v>
      </c>
      <c r="P68" s="4" t="s">
        <v>276</v>
      </c>
      <c r="Q68" s="4" t="s">
        <v>277</v>
      </c>
      <c r="R68" s="11" t="s">
        <v>58</v>
      </c>
      <c r="S68" s="4" t="s">
        <v>43</v>
      </c>
      <c r="T68" s="4" t="s">
        <v>143</v>
      </c>
    </row>
    <row r="69" spans="2:20" x14ac:dyDescent="0.25">
      <c r="B69" s="7">
        <v>50.2</v>
      </c>
      <c r="C69" s="7" t="s">
        <v>21</v>
      </c>
      <c r="D69" s="8" t="s">
        <v>22</v>
      </c>
      <c r="E69" s="8">
        <v>3</v>
      </c>
      <c r="F69" s="7" t="s">
        <v>77</v>
      </c>
      <c r="G69" s="10" t="s">
        <v>24</v>
      </c>
      <c r="H69" s="13" t="s">
        <v>273</v>
      </c>
      <c r="I69" s="9">
        <f>1097531.63*1/12</f>
        <v>91460.969166666662</v>
      </c>
      <c r="J69" s="13" t="s">
        <v>274</v>
      </c>
      <c r="K69" s="8" t="s">
        <v>925</v>
      </c>
      <c r="L69" s="8" t="s">
        <v>275</v>
      </c>
      <c r="M69" s="8" t="s">
        <v>29</v>
      </c>
      <c r="N69" s="8" t="s">
        <v>30</v>
      </c>
      <c r="O69" s="8" t="s">
        <v>95</v>
      </c>
      <c r="P69" s="8" t="s">
        <v>278</v>
      </c>
      <c r="Q69" s="7"/>
      <c r="R69" s="12">
        <v>45615</v>
      </c>
      <c r="S69" s="8" t="s">
        <v>43</v>
      </c>
      <c r="T69" s="7" t="s">
        <v>143</v>
      </c>
    </row>
    <row r="70" spans="2:20" x14ac:dyDescent="0.25">
      <c r="B70" s="3">
        <v>51</v>
      </c>
      <c r="C70" s="3" t="s">
        <v>21</v>
      </c>
      <c r="D70" s="4" t="s">
        <v>22</v>
      </c>
      <c r="E70" s="4">
        <v>3</v>
      </c>
      <c r="F70" s="3" t="s">
        <v>279</v>
      </c>
      <c r="G70" s="6" t="s">
        <v>24</v>
      </c>
      <c r="H70" s="14" t="s">
        <v>280</v>
      </c>
      <c r="I70" s="5">
        <f>450000-24687.86-150000-250000</f>
        <v>25312.140000000014</v>
      </c>
      <c r="J70" s="14" t="s">
        <v>281</v>
      </c>
      <c r="K70" s="4" t="s">
        <v>925</v>
      </c>
      <c r="L70" s="4" t="s">
        <v>275</v>
      </c>
      <c r="M70" s="4" t="s">
        <v>30</v>
      </c>
      <c r="N70" s="4" t="s">
        <v>30</v>
      </c>
      <c r="O70" s="4" t="s">
        <v>95</v>
      </c>
      <c r="P70" s="4" t="s">
        <v>282</v>
      </c>
      <c r="Q70" s="4"/>
      <c r="R70" s="11">
        <v>45324</v>
      </c>
      <c r="S70" s="4" t="s">
        <v>43</v>
      </c>
      <c r="T70" s="4" t="s">
        <v>283</v>
      </c>
    </row>
    <row r="71" spans="2:20" x14ac:dyDescent="0.25">
      <c r="B71" s="7">
        <v>52.1</v>
      </c>
      <c r="C71" s="7" t="s">
        <v>21</v>
      </c>
      <c r="D71" s="8" t="s">
        <v>22</v>
      </c>
      <c r="E71" s="8">
        <v>3</v>
      </c>
      <c r="F71" s="7" t="s">
        <v>279</v>
      </c>
      <c r="G71" s="10" t="s">
        <v>24</v>
      </c>
      <c r="H71" s="13" t="s">
        <v>284</v>
      </c>
      <c r="I71" s="9">
        <v>43990</v>
      </c>
      <c r="J71" s="13" t="s">
        <v>285</v>
      </c>
      <c r="K71" s="8" t="s">
        <v>925</v>
      </c>
      <c r="L71" s="8" t="s">
        <v>275</v>
      </c>
      <c r="M71" s="8" t="s">
        <v>29</v>
      </c>
      <c r="N71" s="8" t="s">
        <v>30</v>
      </c>
      <c r="O71" s="8" t="s">
        <v>49</v>
      </c>
      <c r="P71" s="8" t="s">
        <v>286</v>
      </c>
      <c r="Q71" s="7" t="s">
        <v>287</v>
      </c>
      <c r="R71" s="12">
        <v>45398</v>
      </c>
      <c r="S71" s="8" t="s">
        <v>43</v>
      </c>
      <c r="T71" s="7" t="s">
        <v>288</v>
      </c>
    </row>
    <row r="72" spans="2:20" x14ac:dyDescent="0.25">
      <c r="B72" s="3">
        <v>52.2</v>
      </c>
      <c r="C72" s="3" t="s">
        <v>21</v>
      </c>
      <c r="D72" s="4" t="s">
        <v>22</v>
      </c>
      <c r="E72" s="4">
        <v>3</v>
      </c>
      <c r="F72" s="3" t="s">
        <v>279</v>
      </c>
      <c r="G72" s="6" t="s">
        <v>24</v>
      </c>
      <c r="H72" s="14" t="s">
        <v>284</v>
      </c>
      <c r="I72" s="5">
        <v>274695.28999999998</v>
      </c>
      <c r="J72" s="14" t="s">
        <v>285</v>
      </c>
      <c r="K72" s="4" t="s">
        <v>925</v>
      </c>
      <c r="L72" s="4" t="s">
        <v>275</v>
      </c>
      <c r="M72" s="4" t="s">
        <v>29</v>
      </c>
      <c r="N72" s="4" t="s">
        <v>30</v>
      </c>
      <c r="O72" s="4" t="s">
        <v>95</v>
      </c>
      <c r="P72" s="4" t="s">
        <v>853</v>
      </c>
      <c r="Q72" s="4"/>
      <c r="R72" s="11">
        <v>45398</v>
      </c>
      <c r="S72" s="4" t="s">
        <v>43</v>
      </c>
      <c r="T72" s="4" t="s">
        <v>288</v>
      </c>
    </row>
    <row r="73" spans="2:20" x14ac:dyDescent="0.25">
      <c r="B73" s="7">
        <v>53</v>
      </c>
      <c r="C73" s="7" t="s">
        <v>21</v>
      </c>
      <c r="D73" s="8" t="s">
        <v>22</v>
      </c>
      <c r="E73" s="8">
        <v>3</v>
      </c>
      <c r="F73" s="7" t="s">
        <v>864</v>
      </c>
      <c r="G73" s="10" t="s">
        <v>24</v>
      </c>
      <c r="H73" s="13" t="s">
        <v>289</v>
      </c>
      <c r="I73" s="9">
        <v>33000</v>
      </c>
      <c r="J73" s="13" t="s">
        <v>290</v>
      </c>
      <c r="K73" s="8" t="s">
        <v>925</v>
      </c>
      <c r="L73" s="8" t="s">
        <v>40</v>
      </c>
      <c r="M73" s="8" t="s">
        <v>30</v>
      </c>
      <c r="N73" s="8" t="s">
        <v>29</v>
      </c>
      <c r="O73" s="8" t="s">
        <v>49</v>
      </c>
      <c r="P73" s="8" t="s">
        <v>854</v>
      </c>
      <c r="Q73" s="7"/>
      <c r="R73" s="12">
        <v>45337</v>
      </c>
      <c r="S73" s="8" t="s">
        <v>69</v>
      </c>
      <c r="T73" s="7" t="s">
        <v>291</v>
      </c>
    </row>
    <row r="74" spans="2:20" x14ac:dyDescent="0.25">
      <c r="B74" s="3">
        <v>54</v>
      </c>
      <c r="C74" s="3" t="s">
        <v>21</v>
      </c>
      <c r="D74" s="4" t="s">
        <v>22</v>
      </c>
      <c r="E74" s="4">
        <v>3</v>
      </c>
      <c r="F74" s="3" t="s">
        <v>292</v>
      </c>
      <c r="G74" s="6" t="s">
        <v>24</v>
      </c>
      <c r="H74" s="14" t="s">
        <v>293</v>
      </c>
      <c r="I74" s="5">
        <f>17713.14+14687.86</f>
        <v>32401</v>
      </c>
      <c r="J74" s="14" t="s">
        <v>294</v>
      </c>
      <c r="K74" s="4" t="s">
        <v>925</v>
      </c>
      <c r="L74" s="4" t="s">
        <v>275</v>
      </c>
      <c r="M74" s="4" t="s">
        <v>30</v>
      </c>
      <c r="N74" s="4" t="s">
        <v>29</v>
      </c>
      <c r="O74" s="4" t="s">
        <v>160</v>
      </c>
      <c r="P74" s="4" t="s">
        <v>295</v>
      </c>
      <c r="Q74" s="4" t="s">
        <v>872</v>
      </c>
      <c r="R74" s="11">
        <v>45292</v>
      </c>
      <c r="S74" s="4" t="s">
        <v>34</v>
      </c>
      <c r="T74" s="4" t="s">
        <v>296</v>
      </c>
    </row>
    <row r="75" spans="2:20" x14ac:dyDescent="0.25">
      <c r="B75" s="7">
        <v>55</v>
      </c>
      <c r="C75" s="7" t="s">
        <v>21</v>
      </c>
      <c r="D75" s="8" t="s">
        <v>22</v>
      </c>
      <c r="E75" s="8">
        <v>3</v>
      </c>
      <c r="F75" s="7" t="s">
        <v>279</v>
      </c>
      <c r="G75" s="10" t="s">
        <v>24</v>
      </c>
      <c r="H75" s="13" t="s">
        <v>297</v>
      </c>
      <c r="I75" s="9">
        <v>18035.62</v>
      </c>
      <c r="J75" s="13" t="s">
        <v>298</v>
      </c>
      <c r="K75" s="8" t="s">
        <v>925</v>
      </c>
      <c r="L75" s="8" t="s">
        <v>40</v>
      </c>
      <c r="M75" s="8" t="s">
        <v>30</v>
      </c>
      <c r="N75" s="8" t="s">
        <v>29</v>
      </c>
      <c r="O75" s="8" t="s">
        <v>95</v>
      </c>
      <c r="P75" s="8" t="s">
        <v>112</v>
      </c>
      <c r="Q75" s="7"/>
      <c r="R75" s="12">
        <v>45324</v>
      </c>
      <c r="S75" s="8" t="s">
        <v>34</v>
      </c>
      <c r="T75" s="7" t="s">
        <v>299</v>
      </c>
    </row>
    <row r="76" spans="2:20" x14ac:dyDescent="0.25">
      <c r="B76" s="3">
        <v>56</v>
      </c>
      <c r="C76" s="3" t="s">
        <v>21</v>
      </c>
      <c r="D76" s="4" t="s">
        <v>22</v>
      </c>
      <c r="E76" s="4">
        <v>3</v>
      </c>
      <c r="F76" s="3" t="s">
        <v>300</v>
      </c>
      <c r="G76" s="6" t="s">
        <v>24</v>
      </c>
      <c r="H76" s="14" t="s">
        <v>301</v>
      </c>
      <c r="I76" s="5">
        <f>1320000+100000</f>
        <v>1420000</v>
      </c>
      <c r="J76" s="14" t="s">
        <v>302</v>
      </c>
      <c r="K76" s="4" t="s">
        <v>926</v>
      </c>
      <c r="L76" s="4" t="s">
        <v>304</v>
      </c>
      <c r="M76" s="4" t="s">
        <v>29</v>
      </c>
      <c r="N76" s="4" t="s">
        <v>30</v>
      </c>
      <c r="O76" s="4" t="s">
        <v>31</v>
      </c>
      <c r="P76" s="4" t="s">
        <v>305</v>
      </c>
      <c r="Q76" s="4" t="s">
        <v>306</v>
      </c>
      <c r="R76" s="11">
        <v>45474</v>
      </c>
      <c r="S76" s="4" t="s">
        <v>69</v>
      </c>
      <c r="T76" s="4" t="s">
        <v>307</v>
      </c>
    </row>
    <row r="77" spans="2:20" x14ac:dyDescent="0.25">
      <c r="B77" s="7">
        <v>57</v>
      </c>
      <c r="C77" s="7" t="s">
        <v>21</v>
      </c>
      <c r="D77" s="8" t="s">
        <v>22</v>
      </c>
      <c r="E77" s="8">
        <v>3</v>
      </c>
      <c r="F77" s="7" t="s">
        <v>77</v>
      </c>
      <c r="G77" s="10" t="s">
        <v>24</v>
      </c>
      <c r="H77" s="117" t="s">
        <v>308</v>
      </c>
      <c r="I77" s="124">
        <f>1050000-100000-7778-15500-37189-100000-46656.4-28000-6807-1796-8976.61-49024.04-80636.36</f>
        <v>567636.59</v>
      </c>
      <c r="J77" s="13" t="s">
        <v>309</v>
      </c>
      <c r="K77" s="8" t="s">
        <v>926</v>
      </c>
      <c r="L77" s="8" t="s">
        <v>304</v>
      </c>
      <c r="M77" s="8" t="s">
        <v>29</v>
      </c>
      <c r="N77" s="8" t="s">
        <v>30</v>
      </c>
      <c r="O77" s="115" t="s">
        <v>95</v>
      </c>
      <c r="P77" s="115" t="s">
        <v>310</v>
      </c>
      <c r="Q77" s="7"/>
      <c r="R77" s="12">
        <v>45657</v>
      </c>
      <c r="S77" s="8" t="s">
        <v>43</v>
      </c>
      <c r="T77" s="7" t="s">
        <v>143</v>
      </c>
    </row>
    <row r="78" spans="2:20" x14ac:dyDescent="0.25">
      <c r="B78" s="3">
        <v>58</v>
      </c>
      <c r="C78" s="3" t="s">
        <v>21</v>
      </c>
      <c r="D78" s="4" t="s">
        <v>22</v>
      </c>
      <c r="E78" s="4">
        <v>3</v>
      </c>
      <c r="F78" s="3" t="s">
        <v>311</v>
      </c>
      <c r="G78" s="6" t="s">
        <v>24</v>
      </c>
      <c r="H78" s="14" t="s">
        <v>312</v>
      </c>
      <c r="I78" s="5">
        <v>27878.400000000001</v>
      </c>
      <c r="J78" s="14" t="s">
        <v>313</v>
      </c>
      <c r="K78" s="4" t="s">
        <v>314</v>
      </c>
      <c r="L78" s="4" t="s">
        <v>40</v>
      </c>
      <c r="M78" s="4" t="s">
        <v>29</v>
      </c>
      <c r="N78" s="4" t="s">
        <v>30</v>
      </c>
      <c r="O78" s="4" t="s">
        <v>49</v>
      </c>
      <c r="P78" s="4" t="s">
        <v>315</v>
      </c>
      <c r="Q78" s="4" t="s">
        <v>316</v>
      </c>
      <c r="R78" s="11">
        <v>46822</v>
      </c>
      <c r="S78" s="4" t="s">
        <v>34</v>
      </c>
      <c r="T78" s="4" t="s">
        <v>317</v>
      </c>
    </row>
    <row r="79" spans="2:20" x14ac:dyDescent="0.25">
      <c r="B79" s="7">
        <v>59</v>
      </c>
      <c r="C79" s="7" t="s">
        <v>21</v>
      </c>
      <c r="D79" s="8" t="s">
        <v>318</v>
      </c>
      <c r="E79" s="8">
        <v>3</v>
      </c>
      <c r="F79" s="7" t="s">
        <v>319</v>
      </c>
      <c r="G79" s="10" t="s">
        <v>320</v>
      </c>
      <c r="H79" s="13" t="s">
        <v>321</v>
      </c>
      <c r="I79" s="9">
        <v>2172396</v>
      </c>
      <c r="J79" s="13" t="s">
        <v>322</v>
      </c>
      <c r="K79" s="8" t="s">
        <v>58</v>
      </c>
      <c r="L79" s="8" t="s">
        <v>323</v>
      </c>
      <c r="M79" s="8" t="s">
        <v>29</v>
      </c>
      <c r="N79" s="8" t="s">
        <v>30</v>
      </c>
      <c r="O79" s="8" t="s">
        <v>31</v>
      </c>
      <c r="P79" s="8" t="s">
        <v>267</v>
      </c>
      <c r="Q79" s="7" t="s">
        <v>268</v>
      </c>
      <c r="R79" s="12"/>
      <c r="S79" s="8"/>
      <c r="T79" s="7" t="s">
        <v>269</v>
      </c>
    </row>
    <row r="80" spans="2:20" x14ac:dyDescent="0.25">
      <c r="B80" s="32">
        <v>60</v>
      </c>
      <c r="C80" s="32" t="s">
        <v>21</v>
      </c>
      <c r="D80" s="33" t="s">
        <v>324</v>
      </c>
      <c r="E80" s="33">
        <v>3</v>
      </c>
      <c r="F80" s="32" t="s">
        <v>325</v>
      </c>
      <c r="G80" s="34" t="s">
        <v>326</v>
      </c>
      <c r="H80" s="35" t="s">
        <v>327</v>
      </c>
      <c r="I80" s="36">
        <f>13875895.32-411625.54</f>
        <v>13464269.780000001</v>
      </c>
      <c r="J80" s="35" t="s">
        <v>328</v>
      </c>
      <c r="K80" s="33" t="s">
        <v>58</v>
      </c>
      <c r="L80" s="33" t="s">
        <v>329</v>
      </c>
      <c r="M80" s="33" t="s">
        <v>30</v>
      </c>
      <c r="N80" s="33" t="s">
        <v>30</v>
      </c>
      <c r="O80" s="33" t="s">
        <v>49</v>
      </c>
      <c r="P80" s="33" t="s">
        <v>330</v>
      </c>
      <c r="Q80" s="32" t="s">
        <v>331</v>
      </c>
      <c r="R80" s="37">
        <v>45627</v>
      </c>
      <c r="S80" s="33" t="s">
        <v>43</v>
      </c>
      <c r="T80" s="33" t="s">
        <v>332</v>
      </c>
    </row>
    <row r="81" spans="2:20" x14ac:dyDescent="0.25">
      <c r="B81" s="38">
        <v>61</v>
      </c>
      <c r="C81" s="38" t="s">
        <v>21</v>
      </c>
      <c r="D81" s="39" t="s">
        <v>324</v>
      </c>
      <c r="E81" s="39">
        <v>3</v>
      </c>
      <c r="F81" s="38" t="s">
        <v>333</v>
      </c>
      <c r="G81" s="40" t="s">
        <v>326</v>
      </c>
      <c r="H81" s="41" t="s">
        <v>334</v>
      </c>
      <c r="I81" s="133">
        <f>4053300+950332.47</f>
        <v>5003632.47</v>
      </c>
      <c r="J81" s="41" t="s">
        <v>335</v>
      </c>
      <c r="K81" s="39" t="s">
        <v>58</v>
      </c>
      <c r="L81" s="39" t="s">
        <v>329</v>
      </c>
      <c r="M81" s="39" t="s">
        <v>30</v>
      </c>
      <c r="N81" s="39" t="s">
        <v>30</v>
      </c>
      <c r="O81" s="39" t="s">
        <v>49</v>
      </c>
      <c r="P81" s="39" t="s">
        <v>336</v>
      </c>
      <c r="Q81" s="39" t="s">
        <v>337</v>
      </c>
      <c r="R81" s="43">
        <v>45482</v>
      </c>
      <c r="S81" s="39" t="s">
        <v>69</v>
      </c>
      <c r="T81" s="39" t="s">
        <v>338</v>
      </c>
    </row>
    <row r="82" spans="2:20" x14ac:dyDescent="0.25">
      <c r="B82" s="32">
        <v>62</v>
      </c>
      <c r="C82" s="32" t="s">
        <v>21</v>
      </c>
      <c r="D82" s="33" t="s">
        <v>324</v>
      </c>
      <c r="E82" s="33">
        <v>3</v>
      </c>
      <c r="F82" s="32" t="s">
        <v>333</v>
      </c>
      <c r="G82" s="34" t="s">
        <v>326</v>
      </c>
      <c r="H82" s="35" t="s">
        <v>339</v>
      </c>
      <c r="I82" s="108">
        <f>19946700-950332.47-2224764.53-0.47</f>
        <v>16771602.530000001</v>
      </c>
      <c r="J82" s="35" t="s">
        <v>335</v>
      </c>
      <c r="K82" s="33" t="s">
        <v>58</v>
      </c>
      <c r="L82" s="33" t="s">
        <v>329</v>
      </c>
      <c r="M82" s="33" t="s">
        <v>30</v>
      </c>
      <c r="N82" s="33" t="s">
        <v>30</v>
      </c>
      <c r="O82" s="33" t="s">
        <v>95</v>
      </c>
      <c r="P82" s="33" t="s">
        <v>340</v>
      </c>
      <c r="Q82" s="119" t="s">
        <v>902</v>
      </c>
      <c r="R82" s="37">
        <v>45392</v>
      </c>
      <c r="S82" s="33" t="s">
        <v>69</v>
      </c>
      <c r="T82" s="33" t="s">
        <v>338</v>
      </c>
    </row>
    <row r="83" spans="2:20" x14ac:dyDescent="0.25">
      <c r="B83" s="38">
        <v>63</v>
      </c>
      <c r="C83" s="38" t="s">
        <v>21</v>
      </c>
      <c r="D83" s="39" t="s">
        <v>324</v>
      </c>
      <c r="E83" s="39">
        <v>3</v>
      </c>
      <c r="F83" s="38" t="s">
        <v>325</v>
      </c>
      <c r="G83" s="40" t="s">
        <v>326</v>
      </c>
      <c r="H83" s="41" t="s">
        <v>341</v>
      </c>
      <c r="I83" s="144">
        <f>(13154724.06/20*12)-2411110.03-0.5-238672.36-53295+1.6-53355.52</f>
        <v>5136402.6259999992</v>
      </c>
      <c r="J83" s="41" t="s">
        <v>342</v>
      </c>
      <c r="K83" s="39" t="s">
        <v>58</v>
      </c>
      <c r="L83" s="39" t="s">
        <v>329</v>
      </c>
      <c r="M83" s="39" t="s">
        <v>30</v>
      </c>
      <c r="N83" s="39" t="s">
        <v>30</v>
      </c>
      <c r="O83" s="39" t="s">
        <v>95</v>
      </c>
      <c r="P83" s="39" t="s">
        <v>343</v>
      </c>
      <c r="Q83" s="39"/>
      <c r="R83" s="43">
        <v>45400</v>
      </c>
      <c r="S83" s="39" t="s">
        <v>43</v>
      </c>
      <c r="T83" s="39" t="s">
        <v>344</v>
      </c>
    </row>
    <row r="84" spans="2:20" x14ac:dyDescent="0.25">
      <c r="B84" s="32">
        <v>64</v>
      </c>
      <c r="C84" s="32" t="s">
        <v>21</v>
      </c>
      <c r="D84" s="33" t="s">
        <v>324</v>
      </c>
      <c r="E84" s="33">
        <v>3</v>
      </c>
      <c r="F84" s="32" t="s">
        <v>325</v>
      </c>
      <c r="G84" s="34" t="s">
        <v>326</v>
      </c>
      <c r="H84" s="35" t="s">
        <v>345</v>
      </c>
      <c r="I84" s="36">
        <f>6784541.26425833-1772374.45-300000</f>
        <v>4712166.8142583296</v>
      </c>
      <c r="J84" s="35" t="s">
        <v>346</v>
      </c>
      <c r="K84" s="33" t="s">
        <v>58</v>
      </c>
      <c r="L84" s="33" t="s">
        <v>329</v>
      </c>
      <c r="M84" s="33" t="s">
        <v>29</v>
      </c>
      <c r="N84" s="33" t="s">
        <v>30</v>
      </c>
      <c r="O84" s="33" t="s">
        <v>31</v>
      </c>
      <c r="P84" s="33" t="s">
        <v>347</v>
      </c>
      <c r="Q84" s="32" t="s">
        <v>348</v>
      </c>
      <c r="R84" s="37">
        <v>45320</v>
      </c>
      <c r="S84" s="33" t="s">
        <v>34</v>
      </c>
      <c r="T84" s="33" t="s">
        <v>349</v>
      </c>
    </row>
    <row r="85" spans="2:20" x14ac:dyDescent="0.25">
      <c r="B85" s="38">
        <v>65</v>
      </c>
      <c r="C85" s="38" t="s">
        <v>21</v>
      </c>
      <c r="D85" s="39" t="s">
        <v>324</v>
      </c>
      <c r="E85" s="39">
        <v>3</v>
      </c>
      <c r="F85" s="38" t="s">
        <v>350</v>
      </c>
      <c r="G85" s="40" t="s">
        <v>326</v>
      </c>
      <c r="H85" s="41" t="s">
        <v>351</v>
      </c>
      <c r="I85" s="134">
        <f>2931795.9-79020.32-186160.17</f>
        <v>2666615.41</v>
      </c>
      <c r="J85" s="41" t="s">
        <v>352</v>
      </c>
      <c r="K85" s="39" t="s">
        <v>58</v>
      </c>
      <c r="L85" s="39" t="s">
        <v>329</v>
      </c>
      <c r="M85" s="39" t="s">
        <v>29</v>
      </c>
      <c r="N85" s="39" t="s">
        <v>30</v>
      </c>
      <c r="O85" s="39" t="s">
        <v>31</v>
      </c>
      <c r="P85" s="39" t="s">
        <v>353</v>
      </c>
      <c r="Q85" s="39" t="s">
        <v>354</v>
      </c>
      <c r="R85" s="43">
        <v>45635</v>
      </c>
      <c r="S85" s="39" t="s">
        <v>34</v>
      </c>
      <c r="T85" s="39" t="s">
        <v>355</v>
      </c>
    </row>
    <row r="86" spans="2:20" x14ac:dyDescent="0.25">
      <c r="B86" s="32">
        <v>66</v>
      </c>
      <c r="C86" s="32" t="s">
        <v>21</v>
      </c>
      <c r="D86" s="33" t="s">
        <v>324</v>
      </c>
      <c r="E86" s="33">
        <v>3</v>
      </c>
      <c r="F86" s="32" t="s">
        <v>356</v>
      </c>
      <c r="G86" s="34" t="s">
        <v>326</v>
      </c>
      <c r="H86" s="35" t="s">
        <v>357</v>
      </c>
      <c r="I86" s="36">
        <v>2139585</v>
      </c>
      <c r="J86" s="35" t="s">
        <v>358</v>
      </c>
      <c r="K86" s="33" t="s">
        <v>58</v>
      </c>
      <c r="L86" s="33" t="s">
        <v>329</v>
      </c>
      <c r="M86" s="33" t="s">
        <v>29</v>
      </c>
      <c r="N86" s="33" t="s">
        <v>30</v>
      </c>
      <c r="O86" s="33" t="s">
        <v>31</v>
      </c>
      <c r="P86" s="33" t="s">
        <v>359</v>
      </c>
      <c r="Q86" s="32" t="s">
        <v>360</v>
      </c>
      <c r="R86" s="37">
        <v>45349</v>
      </c>
      <c r="S86" s="33" t="s">
        <v>69</v>
      </c>
      <c r="T86" s="33" t="s">
        <v>361</v>
      </c>
    </row>
    <row r="87" spans="2:20" x14ac:dyDescent="0.25">
      <c r="B87" s="38">
        <v>67</v>
      </c>
      <c r="C87" s="38" t="s">
        <v>21</v>
      </c>
      <c r="D87" s="39" t="s">
        <v>324</v>
      </c>
      <c r="E87" s="39">
        <v>3</v>
      </c>
      <c r="F87" s="38" t="s">
        <v>325</v>
      </c>
      <c r="G87" s="40" t="s">
        <v>326</v>
      </c>
      <c r="H87" s="41" t="s">
        <v>362</v>
      </c>
      <c r="I87" s="42">
        <v>200000</v>
      </c>
      <c r="J87" s="41" t="s">
        <v>363</v>
      </c>
      <c r="K87" s="39" t="s">
        <v>58</v>
      </c>
      <c r="L87" s="39" t="s">
        <v>329</v>
      </c>
      <c r="M87" s="39" t="s">
        <v>29</v>
      </c>
      <c r="N87" s="39" t="s">
        <v>30</v>
      </c>
      <c r="O87" s="39" t="s">
        <v>49</v>
      </c>
      <c r="P87" s="39" t="s">
        <v>364</v>
      </c>
      <c r="Q87" s="39" t="s">
        <v>365</v>
      </c>
      <c r="R87" s="43">
        <v>45627</v>
      </c>
      <c r="S87" s="39" t="s">
        <v>43</v>
      </c>
      <c r="T87" s="39" t="s">
        <v>344</v>
      </c>
    </row>
    <row r="88" spans="2:20" x14ac:dyDescent="0.25">
      <c r="B88" s="32">
        <v>68</v>
      </c>
      <c r="C88" s="32" t="s">
        <v>21</v>
      </c>
      <c r="D88" s="33" t="s">
        <v>324</v>
      </c>
      <c r="E88" s="33">
        <v>3</v>
      </c>
      <c r="F88" s="32" t="s">
        <v>356</v>
      </c>
      <c r="G88" s="34" t="s">
        <v>326</v>
      </c>
      <c r="H88" s="35" t="s">
        <v>366</v>
      </c>
      <c r="I88" s="36">
        <v>2340867.1990499999</v>
      </c>
      <c r="J88" s="35" t="s">
        <v>367</v>
      </c>
      <c r="K88" s="33" t="s">
        <v>58</v>
      </c>
      <c r="L88" s="33" t="s">
        <v>329</v>
      </c>
      <c r="M88" s="33" t="s">
        <v>30</v>
      </c>
      <c r="N88" s="33" t="s">
        <v>30</v>
      </c>
      <c r="O88" s="33" t="s">
        <v>49</v>
      </c>
      <c r="P88" s="33" t="s">
        <v>368</v>
      </c>
      <c r="Q88" s="32" t="s">
        <v>369</v>
      </c>
      <c r="R88" s="37">
        <v>45620</v>
      </c>
      <c r="S88" s="33" t="s">
        <v>69</v>
      </c>
      <c r="T88" s="33" t="s">
        <v>370</v>
      </c>
    </row>
    <row r="89" spans="2:20" x14ac:dyDescent="0.25">
      <c r="B89" s="38">
        <v>69.099999999999994</v>
      </c>
      <c r="C89" s="38" t="s">
        <v>21</v>
      </c>
      <c r="D89" s="39" t="s">
        <v>324</v>
      </c>
      <c r="E89" s="39">
        <v>3</v>
      </c>
      <c r="F89" s="38" t="s">
        <v>371</v>
      </c>
      <c r="G89" s="40" t="s">
        <v>326</v>
      </c>
      <c r="H89" s="41" t="s">
        <v>372</v>
      </c>
      <c r="I89" s="42">
        <v>55402.578333333331</v>
      </c>
      <c r="J89" s="41" t="s">
        <v>373</v>
      </c>
      <c r="K89" s="39" t="s">
        <v>58</v>
      </c>
      <c r="L89" s="39" t="s">
        <v>329</v>
      </c>
      <c r="M89" s="39" t="s">
        <v>30</v>
      </c>
      <c r="N89" s="39" t="s">
        <v>30</v>
      </c>
      <c r="O89" s="39" t="s">
        <v>31</v>
      </c>
      <c r="P89" s="39" t="s">
        <v>374</v>
      </c>
      <c r="Q89" s="39" t="s">
        <v>375</v>
      </c>
      <c r="R89" s="43">
        <v>45302</v>
      </c>
      <c r="S89" s="39" t="s">
        <v>69</v>
      </c>
      <c r="T89" s="39" t="s">
        <v>370</v>
      </c>
    </row>
    <row r="90" spans="2:20" x14ac:dyDescent="0.25">
      <c r="B90" s="32">
        <v>69.2</v>
      </c>
      <c r="C90" s="32" t="s">
        <v>21</v>
      </c>
      <c r="D90" s="33" t="s">
        <v>324</v>
      </c>
      <c r="E90" s="33">
        <v>3</v>
      </c>
      <c r="F90" s="32" t="s">
        <v>371</v>
      </c>
      <c r="G90" s="34" t="s">
        <v>326</v>
      </c>
      <c r="H90" s="35" t="s">
        <v>376</v>
      </c>
      <c r="I90" s="36">
        <v>649041.20517500001</v>
      </c>
      <c r="J90" s="35" t="s">
        <v>373</v>
      </c>
      <c r="K90" s="33" t="s">
        <v>58</v>
      </c>
      <c r="L90" s="33" t="s">
        <v>329</v>
      </c>
      <c r="M90" s="33" t="s">
        <v>30</v>
      </c>
      <c r="N90" s="33" t="s">
        <v>30</v>
      </c>
      <c r="O90" s="33" t="s">
        <v>95</v>
      </c>
      <c r="P90" s="33" t="s">
        <v>112</v>
      </c>
      <c r="Q90" s="32"/>
      <c r="R90" s="37">
        <v>45423</v>
      </c>
      <c r="S90" s="33" t="s">
        <v>69</v>
      </c>
      <c r="T90" s="33" t="s">
        <v>370</v>
      </c>
    </row>
    <row r="91" spans="2:20" x14ac:dyDescent="0.25">
      <c r="B91" s="38"/>
      <c r="C91" s="38"/>
      <c r="D91" s="39"/>
      <c r="E91" s="39"/>
      <c r="F91" s="38"/>
      <c r="G91" s="40"/>
      <c r="H91" s="41" t="s">
        <v>76</v>
      </c>
      <c r="I91" s="42"/>
      <c r="J91" s="41"/>
      <c r="K91" s="39"/>
      <c r="L91" s="39"/>
      <c r="M91" s="39"/>
      <c r="N91" s="39"/>
      <c r="O91" s="39"/>
      <c r="P91" s="39"/>
      <c r="Q91" s="39"/>
      <c r="R91" s="43"/>
      <c r="S91" s="39"/>
      <c r="T91" s="39"/>
    </row>
    <row r="92" spans="2:20" x14ac:dyDescent="0.25">
      <c r="B92" s="32">
        <v>71.099999999999994</v>
      </c>
      <c r="C92" s="32" t="s">
        <v>21</v>
      </c>
      <c r="D92" s="33" t="s">
        <v>324</v>
      </c>
      <c r="E92" s="33">
        <v>3</v>
      </c>
      <c r="F92" s="32" t="s">
        <v>325</v>
      </c>
      <c r="G92" s="34" t="s">
        <v>326</v>
      </c>
      <c r="H92" s="35" t="s">
        <v>377</v>
      </c>
      <c r="I92" s="36">
        <v>465830</v>
      </c>
      <c r="J92" s="35" t="s">
        <v>378</v>
      </c>
      <c r="K92" s="33" t="s">
        <v>58</v>
      </c>
      <c r="L92" s="33" t="s">
        <v>40</v>
      </c>
      <c r="M92" s="33" t="s">
        <v>29</v>
      </c>
      <c r="N92" s="33" t="s">
        <v>30</v>
      </c>
      <c r="O92" s="33" t="s">
        <v>95</v>
      </c>
      <c r="P92" s="33" t="s">
        <v>379</v>
      </c>
      <c r="Q92" s="32"/>
      <c r="R92" s="37">
        <v>45445</v>
      </c>
      <c r="S92" s="33" t="s">
        <v>69</v>
      </c>
      <c r="T92" s="33" t="s">
        <v>380</v>
      </c>
    </row>
    <row r="93" spans="2:20" x14ac:dyDescent="0.25">
      <c r="B93" s="38">
        <v>71.2</v>
      </c>
      <c r="C93" s="38" t="s">
        <v>21</v>
      </c>
      <c r="D93" s="39" t="s">
        <v>324</v>
      </c>
      <c r="E93" s="39">
        <v>3</v>
      </c>
      <c r="F93" s="38" t="s">
        <v>325</v>
      </c>
      <c r="G93" s="40" t="s">
        <v>326</v>
      </c>
      <c r="H93" s="41" t="s">
        <v>377</v>
      </c>
      <c r="I93" s="42">
        <v>50350</v>
      </c>
      <c r="J93" s="41" t="s">
        <v>378</v>
      </c>
      <c r="K93" s="39" t="s">
        <v>58</v>
      </c>
      <c r="L93" s="39" t="s">
        <v>40</v>
      </c>
      <c r="M93" s="39" t="s">
        <v>29</v>
      </c>
      <c r="N93" s="39" t="s">
        <v>30</v>
      </c>
      <c r="O93" s="39" t="s">
        <v>95</v>
      </c>
      <c r="P93" s="39" t="s">
        <v>379</v>
      </c>
      <c r="Q93" s="39"/>
      <c r="R93" s="43">
        <v>45445</v>
      </c>
      <c r="S93" s="39" t="s">
        <v>69</v>
      </c>
      <c r="T93" s="39" t="s">
        <v>380</v>
      </c>
    </row>
    <row r="94" spans="2:20" x14ac:dyDescent="0.25">
      <c r="B94" s="32">
        <v>72</v>
      </c>
      <c r="C94" s="32" t="s">
        <v>21</v>
      </c>
      <c r="D94" s="33" t="s">
        <v>324</v>
      </c>
      <c r="E94" s="33">
        <v>3</v>
      </c>
      <c r="F94" s="32" t="s">
        <v>381</v>
      </c>
      <c r="G94" s="34" t="s">
        <v>326</v>
      </c>
      <c r="H94" s="35" t="s">
        <v>382</v>
      </c>
      <c r="I94" s="36">
        <v>300000</v>
      </c>
      <c r="J94" s="35" t="s">
        <v>383</v>
      </c>
      <c r="K94" s="33" t="s">
        <v>58</v>
      </c>
      <c r="L94" s="33" t="s">
        <v>329</v>
      </c>
      <c r="M94" s="33" t="s">
        <v>29</v>
      </c>
      <c r="N94" s="33" t="s">
        <v>30</v>
      </c>
      <c r="O94" s="33" t="s">
        <v>49</v>
      </c>
      <c r="P94" s="33" t="s">
        <v>384</v>
      </c>
      <c r="Q94" s="32" t="s">
        <v>385</v>
      </c>
      <c r="R94" s="37">
        <v>45483</v>
      </c>
      <c r="S94" s="33" t="s">
        <v>43</v>
      </c>
      <c r="T94" s="33" t="s">
        <v>386</v>
      </c>
    </row>
    <row r="95" spans="2:20" x14ac:dyDescent="0.25">
      <c r="B95" s="38">
        <v>73.099999999999994</v>
      </c>
      <c r="C95" s="38" t="s">
        <v>21</v>
      </c>
      <c r="D95" s="39" t="s">
        <v>324</v>
      </c>
      <c r="E95" s="39">
        <v>3</v>
      </c>
      <c r="F95" s="38" t="s">
        <v>387</v>
      </c>
      <c r="G95" s="40" t="s">
        <v>326</v>
      </c>
      <c r="H95" s="41" t="s">
        <v>388</v>
      </c>
      <c r="I95" s="42">
        <v>30750</v>
      </c>
      <c r="J95" s="41" t="s">
        <v>389</v>
      </c>
      <c r="K95" s="39" t="s">
        <v>58</v>
      </c>
      <c r="L95" s="39" t="s">
        <v>329</v>
      </c>
      <c r="M95" s="39" t="s">
        <v>29</v>
      </c>
      <c r="N95" s="39" t="s">
        <v>30</v>
      </c>
      <c r="O95" s="39" t="s">
        <v>31</v>
      </c>
      <c r="P95" s="39" t="s">
        <v>390</v>
      </c>
      <c r="Q95" s="39" t="s">
        <v>391</v>
      </c>
      <c r="R95" s="43">
        <v>45349</v>
      </c>
      <c r="S95" s="39" t="s">
        <v>43</v>
      </c>
      <c r="T95" s="39" t="s">
        <v>392</v>
      </c>
    </row>
    <row r="96" spans="2:20" x14ac:dyDescent="0.25">
      <c r="B96" s="32">
        <v>73.2</v>
      </c>
      <c r="C96" s="32" t="s">
        <v>21</v>
      </c>
      <c r="D96" s="33" t="s">
        <v>324</v>
      </c>
      <c r="E96" s="33">
        <v>3</v>
      </c>
      <c r="F96" s="32" t="s">
        <v>387</v>
      </c>
      <c r="G96" s="34" t="s">
        <v>326</v>
      </c>
      <c r="H96" s="35" t="s">
        <v>393</v>
      </c>
      <c r="I96" s="36">
        <v>360236.25</v>
      </c>
      <c r="J96" s="35" t="s">
        <v>389</v>
      </c>
      <c r="K96" s="33" t="s">
        <v>58</v>
      </c>
      <c r="L96" s="33" t="s">
        <v>329</v>
      </c>
      <c r="M96" s="33" t="s">
        <v>30</v>
      </c>
      <c r="N96" s="33" t="s">
        <v>30</v>
      </c>
      <c r="O96" s="33" t="s">
        <v>95</v>
      </c>
      <c r="P96" s="33" t="s">
        <v>112</v>
      </c>
      <c r="Q96" s="32"/>
      <c r="R96" s="37">
        <v>45349</v>
      </c>
      <c r="S96" s="33" t="s">
        <v>43</v>
      </c>
      <c r="T96" s="33" t="s">
        <v>392</v>
      </c>
    </row>
    <row r="97" spans="2:20" x14ac:dyDescent="0.25">
      <c r="B97" s="38">
        <v>74.099999999999994</v>
      </c>
      <c r="C97" s="38" t="s">
        <v>21</v>
      </c>
      <c r="D97" s="39" t="s">
        <v>324</v>
      </c>
      <c r="E97" s="39">
        <v>3</v>
      </c>
      <c r="F97" s="38" t="s">
        <v>394</v>
      </c>
      <c r="G97" s="40" t="s">
        <v>326</v>
      </c>
      <c r="H97" s="41" t="s">
        <v>395</v>
      </c>
      <c r="I97" s="42">
        <v>123577.3602</v>
      </c>
      <c r="J97" s="41" t="s">
        <v>396</v>
      </c>
      <c r="K97" s="39" t="s">
        <v>58</v>
      </c>
      <c r="L97" s="39" t="s">
        <v>329</v>
      </c>
      <c r="M97" s="39" t="s">
        <v>29</v>
      </c>
      <c r="N97" s="39" t="s">
        <v>30</v>
      </c>
      <c r="O97" s="39" t="s">
        <v>31</v>
      </c>
      <c r="P97" s="39" t="s">
        <v>397</v>
      </c>
      <c r="Q97" s="39" t="s">
        <v>398</v>
      </c>
      <c r="R97" s="43">
        <v>45384</v>
      </c>
      <c r="S97" s="39" t="s">
        <v>34</v>
      </c>
      <c r="T97" s="39" t="s">
        <v>344</v>
      </c>
    </row>
    <row r="98" spans="2:20" x14ac:dyDescent="0.25">
      <c r="B98" s="32">
        <v>74.2</v>
      </c>
      <c r="C98" s="32" t="s">
        <v>21</v>
      </c>
      <c r="D98" s="33" t="s">
        <v>324</v>
      </c>
      <c r="E98" s="33">
        <v>3</v>
      </c>
      <c r="F98" s="32" t="s">
        <v>394</v>
      </c>
      <c r="G98" s="34" t="s">
        <v>326</v>
      </c>
      <c r="H98" s="35" t="s">
        <v>399</v>
      </c>
      <c r="I98" s="36">
        <v>266927.09859999997</v>
      </c>
      <c r="J98" s="35" t="s">
        <v>396</v>
      </c>
      <c r="K98" s="33" t="s">
        <v>58</v>
      </c>
      <c r="L98" s="33" t="s">
        <v>329</v>
      </c>
      <c r="M98" s="33" t="s">
        <v>30</v>
      </c>
      <c r="N98" s="33" t="s">
        <v>30</v>
      </c>
      <c r="O98" s="33" t="s">
        <v>95</v>
      </c>
      <c r="P98" s="33" t="s">
        <v>112</v>
      </c>
      <c r="Q98" s="32"/>
      <c r="R98" s="37">
        <v>45383</v>
      </c>
      <c r="S98" s="33" t="s">
        <v>34</v>
      </c>
      <c r="T98" s="33" t="s">
        <v>344</v>
      </c>
    </row>
    <row r="99" spans="2:20" x14ac:dyDescent="0.25">
      <c r="B99" s="38">
        <v>75</v>
      </c>
      <c r="C99" s="38" t="s">
        <v>21</v>
      </c>
      <c r="D99" s="39" t="s">
        <v>324</v>
      </c>
      <c r="E99" s="39">
        <v>3</v>
      </c>
      <c r="F99" s="38" t="s">
        <v>371</v>
      </c>
      <c r="G99" s="40" t="s">
        <v>326</v>
      </c>
      <c r="H99" s="41" t="s">
        <v>400</v>
      </c>
      <c r="I99" s="42">
        <f>274348.59015-23380.8</f>
        <v>250967.79015000002</v>
      </c>
      <c r="J99" s="41" t="s">
        <v>401</v>
      </c>
      <c r="K99" s="39" t="s">
        <v>58</v>
      </c>
      <c r="L99" s="39" t="s">
        <v>329</v>
      </c>
      <c r="M99" s="39" t="s">
        <v>29</v>
      </c>
      <c r="N99" s="39" t="s">
        <v>30</v>
      </c>
      <c r="O99" s="39" t="s">
        <v>31</v>
      </c>
      <c r="P99" s="39" t="s">
        <v>402</v>
      </c>
      <c r="Q99" s="39" t="s">
        <v>403</v>
      </c>
      <c r="R99" s="43">
        <v>45642</v>
      </c>
      <c r="S99" s="39" t="s">
        <v>34</v>
      </c>
      <c r="T99" s="39" t="s">
        <v>370</v>
      </c>
    </row>
    <row r="100" spans="2:20" x14ac:dyDescent="0.25">
      <c r="B100" s="32">
        <v>76</v>
      </c>
      <c r="C100" s="32" t="s">
        <v>21</v>
      </c>
      <c r="D100" s="33" t="s">
        <v>324</v>
      </c>
      <c r="E100" s="33">
        <v>3</v>
      </c>
      <c r="F100" s="32" t="s">
        <v>371</v>
      </c>
      <c r="G100" s="34" t="s">
        <v>326</v>
      </c>
      <c r="H100" s="35" t="s">
        <v>404</v>
      </c>
      <c r="I100" s="36">
        <v>100000</v>
      </c>
      <c r="J100" s="35" t="s">
        <v>405</v>
      </c>
      <c r="K100" s="33" t="s">
        <v>58</v>
      </c>
      <c r="L100" s="33" t="s">
        <v>329</v>
      </c>
      <c r="M100" s="33" t="s">
        <v>29</v>
      </c>
      <c r="N100" s="33" t="s">
        <v>30</v>
      </c>
      <c r="O100" s="33" t="s">
        <v>49</v>
      </c>
      <c r="P100" s="33" t="s">
        <v>406</v>
      </c>
      <c r="Q100" s="32" t="s">
        <v>407</v>
      </c>
      <c r="R100" s="37">
        <v>45383</v>
      </c>
      <c r="S100" s="33" t="s">
        <v>43</v>
      </c>
      <c r="T100" s="33" t="s">
        <v>408</v>
      </c>
    </row>
    <row r="101" spans="2:20" x14ac:dyDescent="0.25">
      <c r="B101" s="38"/>
      <c r="C101" s="38"/>
      <c r="D101" s="39"/>
      <c r="E101" s="39"/>
      <c r="F101" s="38"/>
      <c r="G101" s="40"/>
      <c r="H101" s="41" t="s">
        <v>76</v>
      </c>
      <c r="I101" s="42"/>
      <c r="J101" s="41"/>
      <c r="K101" s="39"/>
      <c r="L101" s="39"/>
      <c r="M101" s="39"/>
      <c r="N101" s="39"/>
      <c r="O101" s="39"/>
      <c r="P101" s="39"/>
      <c r="Q101" s="39"/>
      <c r="R101" s="43"/>
      <c r="S101" s="39"/>
      <c r="T101" s="39"/>
    </row>
    <row r="102" spans="2:20" x14ac:dyDescent="0.25">
      <c r="B102" s="32">
        <v>78</v>
      </c>
      <c r="C102" s="32" t="s">
        <v>21</v>
      </c>
      <c r="D102" s="33" t="s">
        <v>324</v>
      </c>
      <c r="E102" s="33">
        <v>3</v>
      </c>
      <c r="F102" s="32" t="s">
        <v>65</v>
      </c>
      <c r="G102" s="34" t="s">
        <v>326</v>
      </c>
      <c r="H102" s="35" t="s">
        <v>409</v>
      </c>
      <c r="I102" s="36">
        <f>51839.09865+106500-61631.72-22266.86-31309.84-3330.68</f>
        <v>39799.998650000001</v>
      </c>
      <c r="J102" s="35" t="s">
        <v>410</v>
      </c>
      <c r="K102" s="33" t="s">
        <v>58</v>
      </c>
      <c r="L102" s="33" t="s">
        <v>40</v>
      </c>
      <c r="M102" s="33" t="s">
        <v>29</v>
      </c>
      <c r="N102" s="33" t="s">
        <v>30</v>
      </c>
      <c r="O102" s="33" t="s">
        <v>95</v>
      </c>
      <c r="P102" s="33" t="s">
        <v>379</v>
      </c>
      <c r="Q102" s="32"/>
      <c r="R102" s="37">
        <v>45445</v>
      </c>
      <c r="S102" s="33" t="s">
        <v>34</v>
      </c>
      <c r="T102" s="33" t="s">
        <v>411</v>
      </c>
    </row>
    <row r="103" spans="2:20" x14ac:dyDescent="0.25">
      <c r="B103" s="38">
        <v>79</v>
      </c>
      <c r="C103" s="38" t="s">
        <v>21</v>
      </c>
      <c r="D103" s="39" t="s">
        <v>324</v>
      </c>
      <c r="E103" s="39">
        <v>3</v>
      </c>
      <c r="F103" s="38" t="s">
        <v>325</v>
      </c>
      <c r="G103" s="40" t="s">
        <v>326</v>
      </c>
      <c r="H103" s="41" t="s">
        <v>412</v>
      </c>
      <c r="I103" s="124">
        <f>105343.33</f>
        <v>105343.33</v>
      </c>
      <c r="J103" s="41" t="s">
        <v>413</v>
      </c>
      <c r="K103" s="39" t="s">
        <v>58</v>
      </c>
      <c r="L103" s="39" t="s">
        <v>329</v>
      </c>
      <c r="M103" s="39" t="s">
        <v>30</v>
      </c>
      <c r="N103" s="39" t="s">
        <v>30</v>
      </c>
      <c r="O103" s="39" t="s">
        <v>95</v>
      </c>
      <c r="P103" s="39" t="s">
        <v>414</v>
      </c>
      <c r="Q103" s="39" t="s">
        <v>874</v>
      </c>
      <c r="R103" s="43">
        <v>45378</v>
      </c>
      <c r="S103" s="39" t="s">
        <v>43</v>
      </c>
      <c r="T103" s="39" t="s">
        <v>344</v>
      </c>
    </row>
    <row r="104" spans="2:20" x14ac:dyDescent="0.25">
      <c r="B104" s="32">
        <v>80</v>
      </c>
      <c r="C104" s="32" t="s">
        <v>21</v>
      </c>
      <c r="D104" s="33" t="s">
        <v>324</v>
      </c>
      <c r="E104" s="33">
        <v>3</v>
      </c>
      <c r="F104" s="32" t="s">
        <v>325</v>
      </c>
      <c r="G104" s="34" t="s">
        <v>326</v>
      </c>
      <c r="H104" s="35" t="s">
        <v>415</v>
      </c>
      <c r="I104" s="36">
        <v>181742.79759999999</v>
      </c>
      <c r="J104" s="35" t="s">
        <v>416</v>
      </c>
      <c r="K104" s="33" t="s">
        <v>58</v>
      </c>
      <c r="L104" s="33" t="s">
        <v>329</v>
      </c>
      <c r="M104" s="33" t="s">
        <v>29</v>
      </c>
      <c r="N104" s="33" t="s">
        <v>30</v>
      </c>
      <c r="O104" s="33" t="s">
        <v>49</v>
      </c>
      <c r="P104" s="33" t="s">
        <v>417</v>
      </c>
      <c r="Q104" s="32" t="s">
        <v>418</v>
      </c>
      <c r="R104" s="37">
        <v>45383</v>
      </c>
      <c r="S104" s="33" t="s">
        <v>43</v>
      </c>
      <c r="T104" s="33" t="s">
        <v>419</v>
      </c>
    </row>
    <row r="105" spans="2:20" x14ac:dyDescent="0.25">
      <c r="B105" s="38">
        <v>81</v>
      </c>
      <c r="C105" s="38" t="s">
        <v>21</v>
      </c>
      <c r="D105" s="39" t="s">
        <v>324</v>
      </c>
      <c r="E105" s="39">
        <v>3</v>
      </c>
      <c r="F105" s="38" t="s">
        <v>229</v>
      </c>
      <c r="G105" s="40" t="s">
        <v>326</v>
      </c>
      <c r="H105" s="41" t="s">
        <v>420</v>
      </c>
      <c r="I105" s="42">
        <v>81151.721999999994</v>
      </c>
      <c r="J105" s="41" t="s">
        <v>421</v>
      </c>
      <c r="K105" s="39" t="s">
        <v>58</v>
      </c>
      <c r="L105" s="39" t="s">
        <v>329</v>
      </c>
      <c r="M105" s="39" t="s">
        <v>29</v>
      </c>
      <c r="N105" s="39" t="s">
        <v>30</v>
      </c>
      <c r="O105" s="39" t="s">
        <v>49</v>
      </c>
      <c r="P105" s="39" t="s">
        <v>422</v>
      </c>
      <c r="Q105" s="39" t="s">
        <v>423</v>
      </c>
      <c r="R105" s="43" t="s">
        <v>58</v>
      </c>
      <c r="S105" s="39" t="s">
        <v>34</v>
      </c>
      <c r="T105" s="39" t="s">
        <v>344</v>
      </c>
    </row>
    <row r="106" spans="2:20" x14ac:dyDescent="0.25">
      <c r="B106" s="32">
        <v>82.1</v>
      </c>
      <c r="C106" s="32" t="s">
        <v>21</v>
      </c>
      <c r="D106" s="33" t="s">
        <v>324</v>
      </c>
      <c r="E106" s="33">
        <v>3</v>
      </c>
      <c r="F106" s="32" t="s">
        <v>387</v>
      </c>
      <c r="G106" s="34" t="s">
        <v>326</v>
      </c>
      <c r="H106" s="35" t="s">
        <v>424</v>
      </c>
      <c r="I106" s="145">
        <f>75600+53355.52</f>
        <v>128955.51999999999</v>
      </c>
      <c r="J106" s="35" t="s">
        <v>425</v>
      </c>
      <c r="K106" s="33" t="s">
        <v>58</v>
      </c>
      <c r="L106" s="33" t="s">
        <v>329</v>
      </c>
      <c r="M106" s="33" t="s">
        <v>29</v>
      </c>
      <c r="N106" s="33" t="s">
        <v>30</v>
      </c>
      <c r="O106" s="33" t="s">
        <v>49</v>
      </c>
      <c r="P106" s="33" t="s">
        <v>426</v>
      </c>
      <c r="Q106" s="32" t="s">
        <v>427</v>
      </c>
      <c r="R106" s="37" t="s">
        <v>58</v>
      </c>
      <c r="S106" s="33" t="s">
        <v>69</v>
      </c>
      <c r="T106" s="33" t="s">
        <v>428</v>
      </c>
    </row>
    <row r="107" spans="2:20" x14ac:dyDescent="0.25">
      <c r="B107" s="38">
        <v>82.2</v>
      </c>
      <c r="C107" s="38" t="s">
        <v>21</v>
      </c>
      <c r="D107" s="39" t="s">
        <v>324</v>
      </c>
      <c r="E107" s="39">
        <v>3</v>
      </c>
      <c r="F107" s="38" t="s">
        <v>387</v>
      </c>
      <c r="G107" s="40" t="s">
        <v>326</v>
      </c>
      <c r="H107" s="41" t="s">
        <v>429</v>
      </c>
      <c r="I107" s="42">
        <v>57510</v>
      </c>
      <c r="J107" s="41" t="s">
        <v>425</v>
      </c>
      <c r="K107" s="39" t="s">
        <v>58</v>
      </c>
      <c r="L107" s="39" t="s">
        <v>329</v>
      </c>
      <c r="M107" s="39" t="s">
        <v>30</v>
      </c>
      <c r="N107" s="39" t="s">
        <v>30</v>
      </c>
      <c r="O107" s="39" t="s">
        <v>95</v>
      </c>
      <c r="P107" s="39" t="s">
        <v>112</v>
      </c>
      <c r="Q107" s="39"/>
      <c r="R107" s="43">
        <v>45485</v>
      </c>
      <c r="S107" s="39" t="s">
        <v>69</v>
      </c>
      <c r="T107" s="39" t="s">
        <v>428</v>
      </c>
    </row>
    <row r="108" spans="2:20" x14ac:dyDescent="0.25">
      <c r="B108" s="32">
        <v>83</v>
      </c>
      <c r="C108" s="32" t="s">
        <v>21</v>
      </c>
      <c r="D108" s="33" t="s">
        <v>324</v>
      </c>
      <c r="E108" s="33">
        <v>3</v>
      </c>
      <c r="F108" s="32" t="s">
        <v>356</v>
      </c>
      <c r="G108" s="34" t="s">
        <v>326</v>
      </c>
      <c r="H108" s="35" t="s">
        <v>430</v>
      </c>
      <c r="I108" s="36">
        <v>126000</v>
      </c>
      <c r="J108" s="35" t="s">
        <v>431</v>
      </c>
      <c r="K108" s="33" t="s">
        <v>58</v>
      </c>
      <c r="L108" s="33" t="s">
        <v>329</v>
      </c>
      <c r="M108" s="33" t="s">
        <v>29</v>
      </c>
      <c r="N108" s="33" t="s">
        <v>30</v>
      </c>
      <c r="O108" s="33" t="s">
        <v>31</v>
      </c>
      <c r="P108" s="33" t="s">
        <v>432</v>
      </c>
      <c r="Q108" s="32" t="s">
        <v>433</v>
      </c>
      <c r="R108" s="37">
        <v>45390</v>
      </c>
      <c r="S108" s="33" t="s">
        <v>34</v>
      </c>
      <c r="T108" s="33" t="s">
        <v>370</v>
      </c>
    </row>
    <row r="109" spans="2:20" x14ac:dyDescent="0.25">
      <c r="B109" s="38">
        <v>84</v>
      </c>
      <c r="C109" s="38" t="s">
        <v>21</v>
      </c>
      <c r="D109" s="39" t="s">
        <v>324</v>
      </c>
      <c r="E109" s="39">
        <v>3</v>
      </c>
      <c r="F109" s="38" t="s">
        <v>350</v>
      </c>
      <c r="G109" s="40" t="s">
        <v>326</v>
      </c>
      <c r="H109" s="41" t="s">
        <v>434</v>
      </c>
      <c r="I109" s="42">
        <f>103944</f>
        <v>103944</v>
      </c>
      <c r="J109" s="41" t="s">
        <v>425</v>
      </c>
      <c r="K109" s="39" t="s">
        <v>58</v>
      </c>
      <c r="L109" s="39" t="s">
        <v>329</v>
      </c>
      <c r="M109" s="39" t="s">
        <v>29</v>
      </c>
      <c r="N109" s="39" t="s">
        <v>30</v>
      </c>
      <c r="O109" s="39" t="s">
        <v>95</v>
      </c>
      <c r="P109" s="39" t="s">
        <v>112</v>
      </c>
      <c r="Q109" s="39"/>
      <c r="R109" s="43">
        <v>45646</v>
      </c>
      <c r="S109" s="39" t="s">
        <v>69</v>
      </c>
      <c r="T109" s="39" t="s">
        <v>370</v>
      </c>
    </row>
    <row r="110" spans="2:20" x14ac:dyDescent="0.25">
      <c r="B110" s="32">
        <v>85.1</v>
      </c>
      <c r="C110" s="32" t="s">
        <v>21</v>
      </c>
      <c r="D110" s="33" t="s">
        <v>324</v>
      </c>
      <c r="E110" s="33">
        <v>3</v>
      </c>
      <c r="F110" s="32" t="s">
        <v>387</v>
      </c>
      <c r="G110" s="34" t="s">
        <v>326</v>
      </c>
      <c r="H110" s="35" t="s">
        <v>435</v>
      </c>
      <c r="I110" s="36">
        <v>4350</v>
      </c>
      <c r="J110" s="35" t="s">
        <v>425</v>
      </c>
      <c r="K110" s="33" t="s">
        <v>58</v>
      </c>
      <c r="L110" s="33" t="s">
        <v>329</v>
      </c>
      <c r="M110" s="33" t="s">
        <v>29</v>
      </c>
      <c r="N110" s="33" t="s">
        <v>30</v>
      </c>
      <c r="O110" s="33" t="s">
        <v>49</v>
      </c>
      <c r="P110" s="33" t="s">
        <v>436</v>
      </c>
      <c r="Q110" s="32" t="s">
        <v>437</v>
      </c>
      <c r="R110" s="37" t="s">
        <v>58</v>
      </c>
      <c r="S110" s="33" t="s">
        <v>69</v>
      </c>
      <c r="T110" s="33" t="s">
        <v>344</v>
      </c>
    </row>
    <row r="111" spans="2:20" x14ac:dyDescent="0.25">
      <c r="B111" s="38">
        <v>85.2</v>
      </c>
      <c r="C111" s="38" t="s">
        <v>21</v>
      </c>
      <c r="D111" s="39" t="s">
        <v>324</v>
      </c>
      <c r="E111" s="39">
        <v>3</v>
      </c>
      <c r="F111" s="38" t="s">
        <v>387</v>
      </c>
      <c r="G111" s="40" t="s">
        <v>326</v>
      </c>
      <c r="H111" s="41" t="s">
        <v>438</v>
      </c>
      <c r="I111" s="42">
        <v>50960.25</v>
      </c>
      <c r="J111" s="41" t="s">
        <v>425</v>
      </c>
      <c r="K111" s="39" t="s">
        <v>58</v>
      </c>
      <c r="L111" s="39" t="s">
        <v>329</v>
      </c>
      <c r="M111" s="39" t="s">
        <v>30</v>
      </c>
      <c r="N111" s="39" t="s">
        <v>30</v>
      </c>
      <c r="O111" s="39" t="s">
        <v>95</v>
      </c>
      <c r="P111" s="39" t="s">
        <v>112</v>
      </c>
      <c r="Q111" s="39"/>
      <c r="R111" s="43">
        <v>45524</v>
      </c>
      <c r="S111" s="39" t="s">
        <v>69</v>
      </c>
      <c r="T111" s="39" t="s">
        <v>344</v>
      </c>
    </row>
    <row r="112" spans="2:20" x14ac:dyDescent="0.25">
      <c r="B112" s="32"/>
      <c r="C112" s="32"/>
      <c r="D112" s="33"/>
      <c r="E112" s="33"/>
      <c r="F112" s="32"/>
      <c r="G112" s="34"/>
      <c r="H112" s="35" t="s">
        <v>76</v>
      </c>
      <c r="I112" s="36"/>
      <c r="J112" s="35"/>
      <c r="K112" s="33"/>
      <c r="L112" s="33"/>
      <c r="M112" s="33"/>
      <c r="N112" s="33"/>
      <c r="O112" s="33"/>
      <c r="P112" s="33"/>
      <c r="Q112" s="32"/>
      <c r="R112" s="37"/>
      <c r="S112" s="33"/>
      <c r="T112" s="33"/>
    </row>
    <row r="113" spans="2:20" x14ac:dyDescent="0.25">
      <c r="B113" s="38">
        <v>87.1</v>
      </c>
      <c r="C113" s="38" t="s">
        <v>21</v>
      </c>
      <c r="D113" s="39" t="s">
        <v>324</v>
      </c>
      <c r="E113" s="39">
        <v>3</v>
      </c>
      <c r="F113" s="38" t="s">
        <v>65</v>
      </c>
      <c r="G113" s="40" t="s">
        <v>326</v>
      </c>
      <c r="H113" s="41" t="s">
        <v>439</v>
      </c>
      <c r="I113" s="42">
        <v>8997</v>
      </c>
      <c r="J113" s="41" t="s">
        <v>440</v>
      </c>
      <c r="K113" s="39" t="s">
        <v>58</v>
      </c>
      <c r="L113" s="39" t="s">
        <v>40</v>
      </c>
      <c r="M113" s="39" t="s">
        <v>29</v>
      </c>
      <c r="N113" s="39" t="s">
        <v>30</v>
      </c>
      <c r="O113" s="39" t="s">
        <v>95</v>
      </c>
      <c r="P113" s="39" t="s">
        <v>379</v>
      </c>
      <c r="Q113" s="39"/>
      <c r="R113" s="43">
        <v>45445</v>
      </c>
      <c r="S113" s="39" t="s">
        <v>34</v>
      </c>
      <c r="T113" s="39" t="s">
        <v>441</v>
      </c>
    </row>
    <row r="114" spans="2:20" x14ac:dyDescent="0.25">
      <c r="B114" s="32">
        <v>87.2</v>
      </c>
      <c r="C114" s="32" t="s">
        <v>21</v>
      </c>
      <c r="D114" s="33" t="s">
        <v>324</v>
      </c>
      <c r="E114" s="33">
        <v>3</v>
      </c>
      <c r="F114" s="32" t="s">
        <v>65</v>
      </c>
      <c r="G114" s="34" t="s">
        <v>326</v>
      </c>
      <c r="H114" s="35" t="s">
        <v>439</v>
      </c>
      <c r="I114" s="36">
        <v>6660</v>
      </c>
      <c r="J114" s="35" t="s">
        <v>440</v>
      </c>
      <c r="K114" s="33" t="s">
        <v>58</v>
      </c>
      <c r="L114" s="33" t="s">
        <v>40</v>
      </c>
      <c r="M114" s="33" t="s">
        <v>29</v>
      </c>
      <c r="N114" s="33" t="s">
        <v>30</v>
      </c>
      <c r="O114" s="33" t="s">
        <v>95</v>
      </c>
      <c r="P114" s="33" t="s">
        <v>379</v>
      </c>
      <c r="Q114" s="32"/>
      <c r="R114" s="37">
        <v>45445</v>
      </c>
      <c r="S114" s="33" t="s">
        <v>34</v>
      </c>
      <c r="T114" s="33" t="s">
        <v>441</v>
      </c>
    </row>
    <row r="115" spans="2:20" x14ac:dyDescent="0.25">
      <c r="B115" s="38">
        <v>88</v>
      </c>
      <c r="C115" s="38" t="s">
        <v>21</v>
      </c>
      <c r="D115" s="39" t="s">
        <v>324</v>
      </c>
      <c r="E115" s="39">
        <v>3</v>
      </c>
      <c r="F115" s="38" t="s">
        <v>394</v>
      </c>
      <c r="G115" s="40" t="s">
        <v>326</v>
      </c>
      <c r="H115" s="41" t="s">
        <v>442</v>
      </c>
      <c r="I115" s="42">
        <f>8029.89+25655.49855-9238.77</f>
        <v>24446.618550000003</v>
      </c>
      <c r="J115" s="41" t="s">
        <v>443</v>
      </c>
      <c r="K115" s="39" t="s">
        <v>58</v>
      </c>
      <c r="L115" s="39" t="s">
        <v>329</v>
      </c>
      <c r="M115" s="39" t="s">
        <v>29</v>
      </c>
      <c r="N115" s="39" t="s">
        <v>30</v>
      </c>
      <c r="O115" s="39" t="s">
        <v>31</v>
      </c>
      <c r="P115" s="39" t="s">
        <v>444</v>
      </c>
      <c r="Q115" s="39" t="s">
        <v>445</v>
      </c>
      <c r="R115" s="43">
        <v>45377</v>
      </c>
      <c r="S115" s="39" t="s">
        <v>34</v>
      </c>
      <c r="T115" s="39" t="s">
        <v>446</v>
      </c>
    </row>
    <row r="116" spans="2:20" x14ac:dyDescent="0.25">
      <c r="B116" s="32"/>
      <c r="C116" s="32"/>
      <c r="D116" s="33"/>
      <c r="E116" s="33"/>
      <c r="F116" s="32"/>
      <c r="G116" s="34"/>
      <c r="H116" s="35" t="s">
        <v>76</v>
      </c>
      <c r="I116" s="36"/>
      <c r="J116" s="35"/>
      <c r="K116" s="33"/>
      <c r="L116" s="33"/>
      <c r="M116" s="33"/>
      <c r="N116" s="33"/>
      <c r="O116" s="33"/>
      <c r="P116" s="33"/>
      <c r="Q116" s="32"/>
      <c r="R116" s="37"/>
      <c r="S116" s="33"/>
      <c r="T116" s="33"/>
    </row>
    <row r="117" spans="2:20" x14ac:dyDescent="0.25">
      <c r="B117" s="38">
        <v>89</v>
      </c>
      <c r="C117" s="38" t="s">
        <v>21</v>
      </c>
      <c r="D117" s="39" t="s">
        <v>324</v>
      </c>
      <c r="E117" s="39">
        <v>3</v>
      </c>
      <c r="F117" s="38" t="s">
        <v>394</v>
      </c>
      <c r="G117" s="40" t="s">
        <v>326</v>
      </c>
      <c r="H117" s="41" t="s">
        <v>447</v>
      </c>
      <c r="I117" s="42">
        <f>31619.64</f>
        <v>31619.64</v>
      </c>
      <c r="J117" s="41" t="s">
        <v>443</v>
      </c>
      <c r="K117" s="39" t="s">
        <v>58</v>
      </c>
      <c r="L117" s="39" t="s">
        <v>329</v>
      </c>
      <c r="M117" s="39" t="s">
        <v>29</v>
      </c>
      <c r="N117" s="39" t="s">
        <v>30</v>
      </c>
      <c r="O117" s="39" t="s">
        <v>31</v>
      </c>
      <c r="P117" s="39" t="s">
        <v>448</v>
      </c>
      <c r="Q117" s="39" t="s">
        <v>449</v>
      </c>
      <c r="R117" s="43">
        <v>45377</v>
      </c>
      <c r="S117" s="39" t="s">
        <v>34</v>
      </c>
      <c r="T117" s="39" t="s">
        <v>446</v>
      </c>
    </row>
    <row r="118" spans="2:20" x14ac:dyDescent="0.25">
      <c r="B118" s="32"/>
      <c r="C118" s="32"/>
      <c r="D118" s="33"/>
      <c r="E118" s="33"/>
      <c r="F118" s="32"/>
      <c r="G118" s="34"/>
      <c r="H118" s="35" t="s">
        <v>76</v>
      </c>
      <c r="I118" s="36"/>
      <c r="J118" s="35"/>
      <c r="K118" s="33"/>
      <c r="L118" s="33"/>
      <c r="M118" s="33"/>
      <c r="N118" s="33"/>
      <c r="O118" s="33"/>
      <c r="P118" s="33"/>
      <c r="Q118" s="32"/>
      <c r="R118" s="37"/>
      <c r="S118" s="33"/>
      <c r="T118" s="33"/>
    </row>
    <row r="119" spans="2:20" x14ac:dyDescent="0.25">
      <c r="B119" s="38">
        <v>90</v>
      </c>
      <c r="C119" s="38" t="s">
        <v>21</v>
      </c>
      <c r="D119" s="39" t="s">
        <v>324</v>
      </c>
      <c r="E119" s="39">
        <v>3</v>
      </c>
      <c r="F119" s="38" t="s">
        <v>387</v>
      </c>
      <c r="G119" s="40" t="s">
        <v>326</v>
      </c>
      <c r="H119" s="41" t="s">
        <v>450</v>
      </c>
      <c r="I119" s="42">
        <v>28457.04495</v>
      </c>
      <c r="J119" s="41" t="s">
        <v>451</v>
      </c>
      <c r="K119" s="39" t="s">
        <v>58</v>
      </c>
      <c r="L119" s="39" t="s">
        <v>40</v>
      </c>
      <c r="M119" s="39" t="s">
        <v>30</v>
      </c>
      <c r="N119" s="39" t="s">
        <v>30</v>
      </c>
      <c r="O119" s="39" t="s">
        <v>95</v>
      </c>
      <c r="P119" s="39" t="s">
        <v>112</v>
      </c>
      <c r="Q119" s="39"/>
      <c r="R119" s="43">
        <v>45627</v>
      </c>
      <c r="S119" s="39" t="s">
        <v>34</v>
      </c>
      <c r="T119" s="39" t="s">
        <v>452</v>
      </c>
    </row>
    <row r="120" spans="2:20" x14ac:dyDescent="0.25">
      <c r="B120" s="32">
        <v>91</v>
      </c>
      <c r="C120" s="32" t="s">
        <v>21</v>
      </c>
      <c r="D120" s="33" t="s">
        <v>324</v>
      </c>
      <c r="E120" s="33">
        <v>4</v>
      </c>
      <c r="F120" s="32" t="s">
        <v>453</v>
      </c>
      <c r="G120" s="34" t="s">
        <v>326</v>
      </c>
      <c r="H120" s="35" t="s">
        <v>454</v>
      </c>
      <c r="I120" s="124">
        <f>500004.85-1.6</f>
        <v>500003.25</v>
      </c>
      <c r="J120" s="35" t="s">
        <v>455</v>
      </c>
      <c r="K120" s="33" t="s">
        <v>58</v>
      </c>
      <c r="L120" s="33" t="s">
        <v>329</v>
      </c>
      <c r="M120" s="33" t="s">
        <v>30</v>
      </c>
      <c r="N120" s="33" t="s">
        <v>29</v>
      </c>
      <c r="O120" s="33" t="s">
        <v>95</v>
      </c>
      <c r="P120" s="33" t="s">
        <v>112</v>
      </c>
      <c r="Q120" s="32"/>
      <c r="R120" s="37">
        <v>45444</v>
      </c>
      <c r="S120" s="33" t="s">
        <v>69</v>
      </c>
      <c r="T120" s="33" t="s">
        <v>456</v>
      </c>
    </row>
    <row r="121" spans="2:20" x14ac:dyDescent="0.25">
      <c r="B121" s="38">
        <v>92</v>
      </c>
      <c r="C121" s="38" t="s">
        <v>21</v>
      </c>
      <c r="D121" s="39" t="s">
        <v>324</v>
      </c>
      <c r="E121" s="39">
        <v>3</v>
      </c>
      <c r="F121" s="38"/>
      <c r="G121" s="40" t="s">
        <v>326</v>
      </c>
      <c r="H121" s="41" t="s">
        <v>457</v>
      </c>
      <c r="I121" s="108">
        <f>1000000-900000</f>
        <v>100000</v>
      </c>
      <c r="J121" s="41" t="s">
        <v>458</v>
      </c>
      <c r="K121" s="39" t="s">
        <v>58</v>
      </c>
      <c r="L121" s="39" t="s">
        <v>329</v>
      </c>
      <c r="M121" s="39" t="s">
        <v>30</v>
      </c>
      <c r="N121" s="39" t="s">
        <v>30</v>
      </c>
      <c r="O121" s="39" t="s">
        <v>95</v>
      </c>
      <c r="P121" s="39" t="s">
        <v>459</v>
      </c>
      <c r="Q121" s="39"/>
      <c r="R121" s="43">
        <v>45444</v>
      </c>
      <c r="S121" s="39" t="s">
        <v>69</v>
      </c>
      <c r="T121" s="39" t="s">
        <v>460</v>
      </c>
    </row>
    <row r="122" spans="2:20" x14ac:dyDescent="0.25">
      <c r="B122" s="32">
        <v>93</v>
      </c>
      <c r="C122" s="32" t="s">
        <v>21</v>
      </c>
      <c r="D122" s="33" t="s">
        <v>324</v>
      </c>
      <c r="E122" s="33">
        <v>3</v>
      </c>
      <c r="F122" s="32" t="s">
        <v>333</v>
      </c>
      <c r="G122" s="34" t="s">
        <v>326</v>
      </c>
      <c r="H122" s="35" t="s">
        <v>461</v>
      </c>
      <c r="I122" s="36">
        <v>120000</v>
      </c>
      <c r="J122" s="35" t="s">
        <v>462</v>
      </c>
      <c r="K122" s="33" t="s">
        <v>58</v>
      </c>
      <c r="L122" s="33" t="s">
        <v>40</v>
      </c>
      <c r="M122" s="33" t="s">
        <v>29</v>
      </c>
      <c r="N122" s="33" t="s">
        <v>30</v>
      </c>
      <c r="O122" s="33" t="s">
        <v>58</v>
      </c>
      <c r="P122" s="33" t="s">
        <v>463</v>
      </c>
      <c r="Q122" s="32" t="s">
        <v>464</v>
      </c>
      <c r="R122" s="37" t="s">
        <v>58</v>
      </c>
      <c r="S122" s="33" t="s">
        <v>58</v>
      </c>
      <c r="T122" s="33" t="s">
        <v>380</v>
      </c>
    </row>
    <row r="123" spans="2:20" x14ac:dyDescent="0.25">
      <c r="B123" s="38">
        <v>94</v>
      </c>
      <c r="C123" s="38" t="s">
        <v>21</v>
      </c>
      <c r="D123" s="39" t="s">
        <v>324</v>
      </c>
      <c r="E123" s="39">
        <v>3</v>
      </c>
      <c r="F123" s="38" t="s">
        <v>465</v>
      </c>
      <c r="G123" s="40" t="s">
        <v>326</v>
      </c>
      <c r="H123" s="41" t="s">
        <v>466</v>
      </c>
      <c r="I123" s="42">
        <f xml:space="preserve"> (11985159.6/20*12)</f>
        <v>7191095.7599999998</v>
      </c>
      <c r="J123" s="41" t="s">
        <v>467</v>
      </c>
      <c r="K123" s="39" t="s">
        <v>58</v>
      </c>
      <c r="L123" s="39" t="s">
        <v>329</v>
      </c>
      <c r="M123" s="39" t="s">
        <v>29</v>
      </c>
      <c r="N123" s="39" t="s">
        <v>30</v>
      </c>
      <c r="O123" s="39" t="s">
        <v>49</v>
      </c>
      <c r="P123" s="39" t="s">
        <v>468</v>
      </c>
      <c r="Q123" s="39" t="s">
        <v>469</v>
      </c>
      <c r="R123" s="43">
        <v>45575</v>
      </c>
      <c r="S123" s="39" t="s">
        <v>43</v>
      </c>
      <c r="T123" s="39" t="s">
        <v>408</v>
      </c>
    </row>
    <row r="124" spans="2:20" x14ac:dyDescent="0.25">
      <c r="B124" s="32">
        <v>95</v>
      </c>
      <c r="C124" s="32" t="s">
        <v>21</v>
      </c>
      <c r="D124" s="33" t="s">
        <v>324</v>
      </c>
      <c r="E124" s="33">
        <v>3</v>
      </c>
      <c r="F124" s="32" t="s">
        <v>356</v>
      </c>
      <c r="G124" s="34" t="s">
        <v>326</v>
      </c>
      <c r="H124" s="35" t="s">
        <v>470</v>
      </c>
      <c r="I124" s="145">
        <f>1125440.5+238672.36</f>
        <v>1364112.8599999999</v>
      </c>
      <c r="J124" s="35" t="s">
        <v>471</v>
      </c>
      <c r="K124" s="33" t="s">
        <v>58</v>
      </c>
      <c r="L124" s="33" t="s">
        <v>329</v>
      </c>
      <c r="M124" s="33" t="s">
        <v>30</v>
      </c>
      <c r="N124" s="33" t="s">
        <v>30</v>
      </c>
      <c r="O124" s="33" t="s">
        <v>95</v>
      </c>
      <c r="P124" s="33" t="s">
        <v>852</v>
      </c>
      <c r="Q124" s="32"/>
      <c r="R124" s="37">
        <v>45471</v>
      </c>
      <c r="S124" s="33" t="s">
        <v>34</v>
      </c>
      <c r="T124" s="33" t="s">
        <v>370</v>
      </c>
    </row>
    <row r="125" spans="2:20" x14ac:dyDescent="0.25">
      <c r="B125" s="38">
        <v>96</v>
      </c>
      <c r="C125" s="38" t="s">
        <v>21</v>
      </c>
      <c r="D125" s="39" t="s">
        <v>324</v>
      </c>
      <c r="E125" s="39">
        <v>3</v>
      </c>
      <c r="F125" s="38" t="s">
        <v>356</v>
      </c>
      <c r="G125" s="40" t="s">
        <v>326</v>
      </c>
      <c r="H125" s="41" t="s">
        <v>472</v>
      </c>
      <c r="I125" s="42">
        <v>170400</v>
      </c>
      <c r="J125" s="41" t="s">
        <v>471</v>
      </c>
      <c r="K125" s="39" t="s">
        <v>58</v>
      </c>
      <c r="L125" s="39" t="s">
        <v>329</v>
      </c>
      <c r="M125" s="39" t="s">
        <v>30</v>
      </c>
      <c r="N125" s="39" t="s">
        <v>30</v>
      </c>
      <c r="O125" s="39" t="s">
        <v>95</v>
      </c>
      <c r="P125" s="142" t="s">
        <v>919</v>
      </c>
      <c r="Q125" s="39"/>
      <c r="R125" s="43">
        <v>45471</v>
      </c>
      <c r="S125" s="39" t="s">
        <v>34</v>
      </c>
      <c r="T125" s="39" t="s">
        <v>370</v>
      </c>
    </row>
    <row r="126" spans="2:20" x14ac:dyDescent="0.25">
      <c r="B126" s="32">
        <v>97</v>
      </c>
      <c r="C126" s="32" t="s">
        <v>21</v>
      </c>
      <c r="D126" s="33" t="s">
        <v>324</v>
      </c>
      <c r="E126" s="33">
        <v>3</v>
      </c>
      <c r="F126" s="32" t="s">
        <v>356</v>
      </c>
      <c r="G126" s="34" t="s">
        <v>326</v>
      </c>
      <c r="H126" s="35" t="s">
        <v>473</v>
      </c>
      <c r="I126" s="126">
        <f>100000+9238.77+186160.17-6145.52</f>
        <v>289253.42</v>
      </c>
      <c r="J126" s="35" t="s">
        <v>474</v>
      </c>
      <c r="K126" s="33" t="s">
        <v>58</v>
      </c>
      <c r="L126" s="33" t="s">
        <v>329</v>
      </c>
      <c r="M126" s="33" t="s">
        <v>30</v>
      </c>
      <c r="N126" s="33" t="s">
        <v>30</v>
      </c>
      <c r="O126" s="33" t="s">
        <v>95</v>
      </c>
      <c r="P126" s="33" t="s">
        <v>112</v>
      </c>
      <c r="Q126" s="32"/>
      <c r="R126" s="37">
        <v>45483</v>
      </c>
      <c r="S126" s="33" t="s">
        <v>69</v>
      </c>
      <c r="T126" s="33" t="s">
        <v>370</v>
      </c>
    </row>
    <row r="127" spans="2:20" x14ac:dyDescent="0.25">
      <c r="B127" s="38">
        <v>98</v>
      </c>
      <c r="C127" s="38" t="s">
        <v>21</v>
      </c>
      <c r="D127" s="39" t="s">
        <v>324</v>
      </c>
      <c r="E127" s="39">
        <v>3</v>
      </c>
      <c r="F127" s="38" t="s">
        <v>356</v>
      </c>
      <c r="G127" s="40" t="s">
        <v>326</v>
      </c>
      <c r="H127" s="41" t="s">
        <v>475</v>
      </c>
      <c r="I127" s="42">
        <v>115949.16000000002</v>
      </c>
      <c r="J127" s="41" t="s">
        <v>476</v>
      </c>
      <c r="K127" s="39" t="s">
        <v>58</v>
      </c>
      <c r="L127" s="39" t="s">
        <v>329</v>
      </c>
      <c r="M127" s="39" t="s">
        <v>30</v>
      </c>
      <c r="N127" s="39" t="s">
        <v>30</v>
      </c>
      <c r="O127" s="39" t="s">
        <v>95</v>
      </c>
      <c r="P127" s="39" t="s">
        <v>112</v>
      </c>
      <c r="Q127" s="39"/>
      <c r="R127" s="43">
        <v>45483</v>
      </c>
      <c r="S127" s="39" t="s">
        <v>34</v>
      </c>
      <c r="T127" s="39" t="s">
        <v>370</v>
      </c>
    </row>
    <row r="128" spans="2:20" x14ac:dyDescent="0.25">
      <c r="B128" s="32">
        <v>99</v>
      </c>
      <c r="C128" s="32" t="s">
        <v>21</v>
      </c>
      <c r="D128" s="33" t="s">
        <v>324</v>
      </c>
      <c r="E128" s="33">
        <v>4</v>
      </c>
      <c r="F128" s="32" t="s">
        <v>477</v>
      </c>
      <c r="G128" s="34" t="s">
        <v>326</v>
      </c>
      <c r="H128" s="35" t="s">
        <v>478</v>
      </c>
      <c r="I128" s="36">
        <v>112000</v>
      </c>
      <c r="J128" s="35" t="s">
        <v>479</v>
      </c>
      <c r="K128" s="33" t="s">
        <v>58</v>
      </c>
      <c r="L128" s="33" t="s">
        <v>329</v>
      </c>
      <c r="M128" s="33" t="s">
        <v>30</v>
      </c>
      <c r="N128" s="33" t="s">
        <v>30</v>
      </c>
      <c r="O128" s="33" t="s">
        <v>95</v>
      </c>
      <c r="P128" s="33" t="s">
        <v>112</v>
      </c>
      <c r="Q128" s="32"/>
      <c r="R128" s="37">
        <v>45483</v>
      </c>
      <c r="S128" s="33" t="s">
        <v>34</v>
      </c>
      <c r="T128" s="33" t="s">
        <v>480</v>
      </c>
    </row>
    <row r="129" spans="2:20" x14ac:dyDescent="0.25">
      <c r="B129" s="38"/>
      <c r="C129" s="38"/>
      <c r="D129" s="39"/>
      <c r="E129" s="39"/>
      <c r="F129" s="38"/>
      <c r="G129" s="40"/>
      <c r="H129" s="41" t="s">
        <v>481</v>
      </c>
      <c r="I129" s="42"/>
      <c r="J129" s="41"/>
      <c r="K129" s="39"/>
      <c r="L129" s="39"/>
      <c r="M129" s="39"/>
      <c r="N129" s="39"/>
      <c r="O129" s="39"/>
      <c r="P129" s="39"/>
      <c r="Q129" s="39"/>
      <c r="R129" s="43"/>
      <c r="S129" s="39"/>
      <c r="T129" s="39"/>
    </row>
    <row r="130" spans="2:20" x14ac:dyDescent="0.25">
      <c r="B130" s="32">
        <v>101</v>
      </c>
      <c r="C130" s="32" t="s">
        <v>21</v>
      </c>
      <c r="D130" s="33" t="s">
        <v>482</v>
      </c>
      <c r="E130" s="33">
        <v>3</v>
      </c>
      <c r="F130" s="32" t="s">
        <v>325</v>
      </c>
      <c r="G130" s="34" t="s">
        <v>326</v>
      </c>
      <c r="H130" s="35" t="s">
        <v>483</v>
      </c>
      <c r="I130" s="36">
        <v>0</v>
      </c>
      <c r="J130" s="35" t="s">
        <v>484</v>
      </c>
      <c r="K130" s="33" t="s">
        <v>58</v>
      </c>
      <c r="L130" s="33" t="s">
        <v>329</v>
      </c>
      <c r="M130" s="33" t="s">
        <v>30</v>
      </c>
      <c r="N130" s="33" t="s">
        <v>30</v>
      </c>
      <c r="O130" s="33" t="s">
        <v>95</v>
      </c>
      <c r="P130" s="33" t="s">
        <v>112</v>
      </c>
      <c r="Q130" s="32"/>
      <c r="R130" s="37">
        <v>45585</v>
      </c>
      <c r="S130" s="33" t="s">
        <v>43</v>
      </c>
      <c r="T130" s="33" t="s">
        <v>485</v>
      </c>
    </row>
    <row r="131" spans="2:20" x14ac:dyDescent="0.25">
      <c r="B131" s="38">
        <v>102.1</v>
      </c>
      <c r="C131" s="38" t="s">
        <v>21</v>
      </c>
      <c r="D131" s="39" t="s">
        <v>482</v>
      </c>
      <c r="E131" s="39">
        <v>3</v>
      </c>
      <c r="F131" s="38" t="s">
        <v>350</v>
      </c>
      <c r="G131" s="40" t="s">
        <v>326</v>
      </c>
      <c r="H131" s="41" t="s">
        <v>486</v>
      </c>
      <c r="I131" s="42">
        <f>257700+491300</f>
        <v>749000</v>
      </c>
      <c r="J131" s="41" t="s">
        <v>487</v>
      </c>
      <c r="K131" s="39" t="s">
        <v>58</v>
      </c>
      <c r="L131" s="39" t="s">
        <v>329</v>
      </c>
      <c r="M131" s="39" t="s">
        <v>29</v>
      </c>
      <c r="N131" s="39" t="s">
        <v>30</v>
      </c>
      <c r="O131" s="39" t="s">
        <v>49</v>
      </c>
      <c r="P131" s="39" t="s">
        <v>488</v>
      </c>
      <c r="Q131" s="39" t="s">
        <v>489</v>
      </c>
      <c r="R131" s="43" t="s">
        <v>58</v>
      </c>
      <c r="S131" s="39" t="s">
        <v>43</v>
      </c>
      <c r="T131" s="39" t="s">
        <v>485</v>
      </c>
    </row>
    <row r="132" spans="2:20" x14ac:dyDescent="0.25">
      <c r="B132" s="32">
        <v>102.2</v>
      </c>
      <c r="C132" s="32" t="s">
        <v>21</v>
      </c>
      <c r="D132" s="33" t="s">
        <v>482</v>
      </c>
      <c r="E132" s="33">
        <v>3</v>
      </c>
      <c r="F132" s="32" t="s">
        <v>350</v>
      </c>
      <c r="G132" s="34" t="s">
        <v>326</v>
      </c>
      <c r="H132" s="35" t="s">
        <v>490</v>
      </c>
      <c r="I132" s="36">
        <f>823351.5-491300</f>
        <v>332051.5</v>
      </c>
      <c r="J132" s="35" t="s">
        <v>487</v>
      </c>
      <c r="K132" s="33" t="s">
        <v>58</v>
      </c>
      <c r="L132" s="33" t="s">
        <v>329</v>
      </c>
      <c r="M132" s="33" t="s">
        <v>30</v>
      </c>
      <c r="N132" s="33" t="s">
        <v>30</v>
      </c>
      <c r="O132" s="33" t="s">
        <v>95</v>
      </c>
      <c r="P132" s="33" t="s">
        <v>112</v>
      </c>
      <c r="Q132" s="32"/>
      <c r="R132" s="37">
        <v>45371</v>
      </c>
      <c r="S132" s="33" t="s">
        <v>43</v>
      </c>
      <c r="T132" s="33" t="s">
        <v>485</v>
      </c>
    </row>
    <row r="133" spans="2:20" x14ac:dyDescent="0.25">
      <c r="B133" s="38">
        <v>103.1</v>
      </c>
      <c r="C133" s="38" t="s">
        <v>21</v>
      </c>
      <c r="D133" s="39" t="s">
        <v>482</v>
      </c>
      <c r="E133" s="39">
        <v>3</v>
      </c>
      <c r="F133" s="38" t="s">
        <v>325</v>
      </c>
      <c r="G133" s="40" t="s">
        <v>326</v>
      </c>
      <c r="H133" s="41" t="s">
        <v>491</v>
      </c>
      <c r="I133" s="42">
        <f>86401.62+342038.38</f>
        <v>428440</v>
      </c>
      <c r="J133" s="41" t="s">
        <v>492</v>
      </c>
      <c r="K133" s="39" t="s">
        <v>58</v>
      </c>
      <c r="L133" s="39" t="s">
        <v>329</v>
      </c>
      <c r="M133" s="39" t="s">
        <v>29</v>
      </c>
      <c r="N133" s="39" t="s">
        <v>30</v>
      </c>
      <c r="O133" s="39" t="s">
        <v>49</v>
      </c>
      <c r="P133" s="39" t="s">
        <v>493</v>
      </c>
      <c r="Q133" s="39" t="s">
        <v>494</v>
      </c>
      <c r="R133" s="43">
        <v>45325</v>
      </c>
      <c r="S133" s="39" t="s">
        <v>43</v>
      </c>
      <c r="T133" s="39" t="s">
        <v>344</v>
      </c>
    </row>
    <row r="134" spans="2:20" x14ac:dyDescent="0.25">
      <c r="B134" s="32">
        <v>103.2</v>
      </c>
      <c r="C134" s="32" t="s">
        <v>21</v>
      </c>
      <c r="D134" s="33" t="s">
        <v>482</v>
      </c>
      <c r="E134" s="33">
        <v>3</v>
      </c>
      <c r="F134" s="32" t="s">
        <v>325</v>
      </c>
      <c r="G134" s="34" t="s">
        <v>326</v>
      </c>
      <c r="H134" s="35" t="s">
        <v>495</v>
      </c>
      <c r="I134" s="36">
        <f>456554.61-342038.28</f>
        <v>114516.32999999996</v>
      </c>
      <c r="J134" s="35" t="s">
        <v>492</v>
      </c>
      <c r="K134" s="33" t="s">
        <v>58</v>
      </c>
      <c r="L134" s="33" t="s">
        <v>329</v>
      </c>
      <c r="M134" s="33" t="s">
        <v>30</v>
      </c>
      <c r="N134" s="33" t="s">
        <v>30</v>
      </c>
      <c r="O134" s="33" t="s">
        <v>95</v>
      </c>
      <c r="P134" s="33" t="s">
        <v>112</v>
      </c>
      <c r="Q134" s="32"/>
      <c r="R134" s="37">
        <v>45325</v>
      </c>
      <c r="S134" s="33" t="s">
        <v>43</v>
      </c>
      <c r="T134" s="33" t="s">
        <v>344</v>
      </c>
    </row>
    <row r="135" spans="2:20" x14ac:dyDescent="0.25">
      <c r="B135" s="38">
        <v>104.1</v>
      </c>
      <c r="C135" s="38" t="s">
        <v>21</v>
      </c>
      <c r="D135" s="39" t="s">
        <v>482</v>
      </c>
      <c r="E135" s="39">
        <v>3</v>
      </c>
      <c r="F135" s="38" t="s">
        <v>387</v>
      </c>
      <c r="G135" s="40" t="s">
        <v>326</v>
      </c>
      <c r="H135" s="41" t="s">
        <v>496</v>
      </c>
      <c r="I135" s="42">
        <v>264620.51</v>
      </c>
      <c r="J135" s="41" t="s">
        <v>497</v>
      </c>
      <c r="K135" s="39" t="s">
        <v>58</v>
      </c>
      <c r="L135" s="39" t="s">
        <v>329</v>
      </c>
      <c r="M135" s="39" t="s">
        <v>29</v>
      </c>
      <c r="N135" s="39" t="s">
        <v>30</v>
      </c>
      <c r="O135" s="39" t="s">
        <v>31</v>
      </c>
      <c r="P135" s="39" t="s">
        <v>498</v>
      </c>
      <c r="Q135" s="39" t="s">
        <v>499</v>
      </c>
      <c r="R135" s="43">
        <v>45499</v>
      </c>
      <c r="S135" s="39" t="s">
        <v>43</v>
      </c>
      <c r="T135" s="39" t="s">
        <v>344</v>
      </c>
    </row>
    <row r="136" spans="2:20" x14ac:dyDescent="0.25">
      <c r="B136" s="32">
        <v>104.2</v>
      </c>
      <c r="C136" s="32" t="s">
        <v>21</v>
      </c>
      <c r="D136" s="33" t="s">
        <v>482</v>
      </c>
      <c r="E136" s="33">
        <v>3</v>
      </c>
      <c r="F136" s="32" t="s">
        <v>387</v>
      </c>
      <c r="G136" s="34" t="s">
        <v>326</v>
      </c>
      <c r="H136" s="35" t="s">
        <v>500</v>
      </c>
      <c r="I136" s="36">
        <v>25620.080000000002</v>
      </c>
      <c r="J136" s="35" t="s">
        <v>497</v>
      </c>
      <c r="K136" s="33" t="s">
        <v>58</v>
      </c>
      <c r="L136" s="33" t="s">
        <v>329</v>
      </c>
      <c r="M136" s="33" t="s">
        <v>30</v>
      </c>
      <c r="N136" s="33" t="s">
        <v>30</v>
      </c>
      <c r="O136" s="33" t="s">
        <v>95</v>
      </c>
      <c r="P136" s="33" t="s">
        <v>112</v>
      </c>
      <c r="Q136" s="32"/>
      <c r="R136" s="37">
        <v>45623</v>
      </c>
      <c r="S136" s="33" t="s">
        <v>43</v>
      </c>
      <c r="T136" s="33" t="s">
        <v>344</v>
      </c>
    </row>
    <row r="137" spans="2:20" x14ac:dyDescent="0.25">
      <c r="B137" s="38">
        <v>105</v>
      </c>
      <c r="C137" s="38" t="s">
        <v>21</v>
      </c>
      <c r="D137" s="39" t="s">
        <v>482</v>
      </c>
      <c r="E137" s="39">
        <v>3</v>
      </c>
      <c r="F137" s="38" t="s">
        <v>371</v>
      </c>
      <c r="G137" s="40" t="s">
        <v>326</v>
      </c>
      <c r="H137" s="41" t="s">
        <v>501</v>
      </c>
      <c r="I137" s="42">
        <v>200000</v>
      </c>
      <c r="J137" s="41" t="s">
        <v>502</v>
      </c>
      <c r="K137" s="39" t="s">
        <v>58</v>
      </c>
      <c r="L137" s="39" t="s">
        <v>329</v>
      </c>
      <c r="M137" s="39" t="s">
        <v>29</v>
      </c>
      <c r="N137" s="39" t="s">
        <v>30</v>
      </c>
      <c r="O137" s="39" t="s">
        <v>95</v>
      </c>
      <c r="P137" s="39" t="s">
        <v>112</v>
      </c>
      <c r="Q137" s="39"/>
      <c r="R137" s="43">
        <v>45593</v>
      </c>
      <c r="S137" s="39" t="s">
        <v>43</v>
      </c>
      <c r="T137" s="39" t="s">
        <v>344</v>
      </c>
    </row>
    <row r="138" spans="2:20" x14ac:dyDescent="0.25">
      <c r="B138" s="32">
        <v>106</v>
      </c>
      <c r="C138" s="32" t="s">
        <v>21</v>
      </c>
      <c r="D138" s="33" t="s">
        <v>482</v>
      </c>
      <c r="E138" s="33">
        <v>3</v>
      </c>
      <c r="F138" s="32" t="s">
        <v>350</v>
      </c>
      <c r="G138" s="34" t="s">
        <v>326</v>
      </c>
      <c r="H138" s="35" t="s">
        <v>503</v>
      </c>
      <c r="I138" s="36">
        <v>30672</v>
      </c>
      <c r="J138" s="35" t="s">
        <v>502</v>
      </c>
      <c r="K138" s="33" t="s">
        <v>58</v>
      </c>
      <c r="L138" s="33" t="s">
        <v>329</v>
      </c>
      <c r="M138" s="33" t="s">
        <v>29</v>
      </c>
      <c r="N138" s="33" t="s">
        <v>30</v>
      </c>
      <c r="O138" s="33" t="s">
        <v>49</v>
      </c>
      <c r="P138" s="33" t="s">
        <v>504</v>
      </c>
      <c r="Q138" s="32" t="s">
        <v>505</v>
      </c>
      <c r="R138" s="37" t="s">
        <v>58</v>
      </c>
      <c r="S138" s="33" t="s">
        <v>43</v>
      </c>
      <c r="T138" s="33" t="s">
        <v>344</v>
      </c>
    </row>
    <row r="139" spans="2:20" x14ac:dyDescent="0.25">
      <c r="B139" s="38">
        <v>107</v>
      </c>
      <c r="C139" s="38" t="s">
        <v>21</v>
      </c>
      <c r="D139" s="39" t="s">
        <v>482</v>
      </c>
      <c r="E139" s="39">
        <v>3</v>
      </c>
      <c r="F139" s="38" t="s">
        <v>350</v>
      </c>
      <c r="G139" s="40" t="s">
        <v>326</v>
      </c>
      <c r="H139" s="41" t="s">
        <v>506</v>
      </c>
      <c r="I139" s="42">
        <v>0</v>
      </c>
      <c r="J139" s="41" t="s">
        <v>502</v>
      </c>
      <c r="K139" s="39" t="s">
        <v>58</v>
      </c>
      <c r="L139" s="39" t="s">
        <v>329</v>
      </c>
      <c r="M139" s="39" t="s">
        <v>30</v>
      </c>
      <c r="N139" s="39" t="s">
        <v>30</v>
      </c>
      <c r="O139" s="39" t="s">
        <v>95</v>
      </c>
      <c r="P139" s="39" t="s">
        <v>507</v>
      </c>
      <c r="Q139" s="39"/>
      <c r="R139" s="43">
        <v>45382</v>
      </c>
      <c r="S139" s="39" t="s">
        <v>43</v>
      </c>
      <c r="T139" s="39" t="s">
        <v>508</v>
      </c>
    </row>
    <row r="140" spans="2:20" x14ac:dyDescent="0.25">
      <c r="B140" s="32">
        <v>108</v>
      </c>
      <c r="C140" s="32" t="s">
        <v>21</v>
      </c>
      <c r="D140" s="33" t="s">
        <v>482</v>
      </c>
      <c r="E140" s="33">
        <v>3</v>
      </c>
      <c r="F140" s="32" t="s">
        <v>509</v>
      </c>
      <c r="G140" s="34" t="s">
        <v>326</v>
      </c>
      <c r="H140" s="35" t="s">
        <v>510</v>
      </c>
      <c r="I140" s="36">
        <f>14732.81+9493.29-47.1</f>
        <v>24179</v>
      </c>
      <c r="J140" s="35" t="s">
        <v>511</v>
      </c>
      <c r="K140" s="33" t="s">
        <v>58</v>
      </c>
      <c r="L140" s="33" t="s">
        <v>329</v>
      </c>
      <c r="M140" s="33" t="s">
        <v>30</v>
      </c>
      <c r="N140" s="33" t="s">
        <v>30</v>
      </c>
      <c r="O140" s="33" t="s">
        <v>160</v>
      </c>
      <c r="P140" s="33" t="s">
        <v>512</v>
      </c>
      <c r="Q140" s="32" t="s">
        <v>870</v>
      </c>
      <c r="R140" s="37">
        <v>45643</v>
      </c>
      <c r="S140" s="33" t="s">
        <v>34</v>
      </c>
      <c r="T140" s="33" t="s">
        <v>513</v>
      </c>
    </row>
    <row r="141" spans="2:20" x14ac:dyDescent="0.25">
      <c r="B141" s="38">
        <v>109.1</v>
      </c>
      <c r="C141" s="38" t="s">
        <v>21</v>
      </c>
      <c r="D141" s="39" t="s">
        <v>482</v>
      </c>
      <c r="E141" s="39">
        <v>4</v>
      </c>
      <c r="F141" s="38" t="s">
        <v>453</v>
      </c>
      <c r="G141" s="40" t="s">
        <v>326</v>
      </c>
      <c r="H141" s="41" t="s">
        <v>514</v>
      </c>
      <c r="I141" s="42">
        <v>0</v>
      </c>
      <c r="J141" s="41" t="s">
        <v>515</v>
      </c>
      <c r="K141" s="39" t="s">
        <v>58</v>
      </c>
      <c r="L141" s="39" t="s">
        <v>329</v>
      </c>
      <c r="M141" s="39" t="s">
        <v>30</v>
      </c>
      <c r="N141" s="39" t="s">
        <v>29</v>
      </c>
      <c r="O141" s="39" t="s">
        <v>95</v>
      </c>
      <c r="P141" s="39" t="s">
        <v>112</v>
      </c>
      <c r="Q141" s="39"/>
      <c r="R141" s="43">
        <v>45444</v>
      </c>
      <c r="S141" s="39" t="s">
        <v>69</v>
      </c>
      <c r="T141" s="39" t="s">
        <v>516</v>
      </c>
    </row>
    <row r="142" spans="2:20" x14ac:dyDescent="0.25">
      <c r="B142" s="32">
        <v>109.2</v>
      </c>
      <c r="C142" s="32" t="s">
        <v>21</v>
      </c>
      <c r="D142" s="33" t="s">
        <v>482</v>
      </c>
      <c r="E142" s="33">
        <v>3</v>
      </c>
      <c r="F142" s="32" t="s">
        <v>517</v>
      </c>
      <c r="G142" s="34" t="s">
        <v>326</v>
      </c>
      <c r="H142" s="35" t="s">
        <v>514</v>
      </c>
      <c r="I142" s="36">
        <v>0</v>
      </c>
      <c r="J142" s="35" t="s">
        <v>515</v>
      </c>
      <c r="K142" s="33" t="s">
        <v>58</v>
      </c>
      <c r="L142" s="33" t="s">
        <v>329</v>
      </c>
      <c r="M142" s="33" t="s">
        <v>30</v>
      </c>
      <c r="N142" s="33" t="s">
        <v>29</v>
      </c>
      <c r="O142" s="33" t="s">
        <v>95</v>
      </c>
      <c r="P142" s="33" t="s">
        <v>112</v>
      </c>
      <c r="Q142" s="32"/>
      <c r="R142" s="37">
        <v>45444</v>
      </c>
      <c r="S142" s="33" t="s">
        <v>69</v>
      </c>
      <c r="T142" s="33" t="s">
        <v>516</v>
      </c>
    </row>
    <row r="143" spans="2:20" x14ac:dyDescent="0.25">
      <c r="B143" s="38">
        <v>110</v>
      </c>
      <c r="C143" s="38" t="s">
        <v>21</v>
      </c>
      <c r="D143" s="39" t="s">
        <v>482</v>
      </c>
      <c r="E143" s="39">
        <v>4</v>
      </c>
      <c r="F143" s="38" t="s">
        <v>518</v>
      </c>
      <c r="G143" s="40" t="s">
        <v>326</v>
      </c>
      <c r="H143" s="41" t="s">
        <v>519</v>
      </c>
      <c r="I143" s="42">
        <v>0</v>
      </c>
      <c r="J143" s="41" t="s">
        <v>502</v>
      </c>
      <c r="K143" s="39" t="s">
        <v>58</v>
      </c>
      <c r="L143" s="39" t="s">
        <v>329</v>
      </c>
      <c r="M143" s="39" t="s">
        <v>30</v>
      </c>
      <c r="N143" s="39" t="s">
        <v>30</v>
      </c>
      <c r="O143" s="39" t="s">
        <v>95</v>
      </c>
      <c r="P143" s="39" t="s">
        <v>507</v>
      </c>
      <c r="Q143" s="39"/>
      <c r="R143" s="43">
        <v>45382</v>
      </c>
      <c r="S143" s="39" t="s">
        <v>43</v>
      </c>
      <c r="T143" s="39" t="s">
        <v>485</v>
      </c>
    </row>
    <row r="144" spans="2:20" x14ac:dyDescent="0.25">
      <c r="B144" s="32">
        <v>111</v>
      </c>
      <c r="C144" s="32" t="s">
        <v>21</v>
      </c>
      <c r="D144" s="33" t="s">
        <v>482</v>
      </c>
      <c r="E144" s="33">
        <v>3</v>
      </c>
      <c r="F144" s="32" t="s">
        <v>325</v>
      </c>
      <c r="G144" s="34" t="s">
        <v>326</v>
      </c>
      <c r="H144" s="35" t="s">
        <v>520</v>
      </c>
      <c r="I144" s="36">
        <v>500000</v>
      </c>
      <c r="J144" s="35" t="s">
        <v>521</v>
      </c>
      <c r="K144" s="33" t="s">
        <v>58</v>
      </c>
      <c r="L144" s="33" t="s">
        <v>329</v>
      </c>
      <c r="M144" s="33" t="s">
        <v>30</v>
      </c>
      <c r="N144" s="33" t="s">
        <v>30</v>
      </c>
      <c r="O144" s="33" t="s">
        <v>95</v>
      </c>
      <c r="P144" s="33" t="s">
        <v>112</v>
      </c>
      <c r="Q144" s="32"/>
      <c r="R144" s="37">
        <v>45382</v>
      </c>
      <c r="S144" s="33" t="s">
        <v>43</v>
      </c>
      <c r="T144" s="33" t="s">
        <v>485</v>
      </c>
    </row>
    <row r="145" spans="2:20" x14ac:dyDescent="0.25">
      <c r="B145" s="38">
        <v>112</v>
      </c>
      <c r="C145" s="38" t="s">
        <v>21</v>
      </c>
      <c r="D145" s="39" t="s">
        <v>482</v>
      </c>
      <c r="E145" s="39">
        <v>3</v>
      </c>
      <c r="F145" s="38" t="s">
        <v>325</v>
      </c>
      <c r="G145" s="40" t="s">
        <v>326</v>
      </c>
      <c r="H145" s="41" t="s">
        <v>522</v>
      </c>
      <c r="I145" s="42">
        <v>150000</v>
      </c>
      <c r="J145" s="41" t="s">
        <v>523</v>
      </c>
      <c r="K145" s="39" t="s">
        <v>58</v>
      </c>
      <c r="L145" s="39" t="s">
        <v>329</v>
      </c>
      <c r="M145" s="39" t="s">
        <v>30</v>
      </c>
      <c r="N145" s="39" t="s">
        <v>30</v>
      </c>
      <c r="O145" s="39" t="s">
        <v>95</v>
      </c>
      <c r="P145" s="39" t="s">
        <v>112</v>
      </c>
      <c r="Q145" s="39"/>
      <c r="R145" s="43">
        <v>45453</v>
      </c>
      <c r="S145" s="39" t="s">
        <v>69</v>
      </c>
      <c r="T145" s="39" t="s">
        <v>485</v>
      </c>
    </row>
    <row r="146" spans="2:20" x14ac:dyDescent="0.25">
      <c r="B146" s="32">
        <v>113</v>
      </c>
      <c r="C146" s="32" t="s">
        <v>21</v>
      </c>
      <c r="D146" s="33" t="s">
        <v>482</v>
      </c>
      <c r="E146" s="33">
        <v>3</v>
      </c>
      <c r="F146" s="32" t="s">
        <v>356</v>
      </c>
      <c r="G146" s="34" t="s">
        <v>326</v>
      </c>
      <c r="H146" s="35" t="s">
        <v>524</v>
      </c>
      <c r="I146" s="36">
        <v>140506.71</v>
      </c>
      <c r="J146" s="35" t="s">
        <v>525</v>
      </c>
      <c r="K146" s="33" t="s">
        <v>58</v>
      </c>
      <c r="L146" s="33" t="s">
        <v>329</v>
      </c>
      <c r="M146" s="33" t="s">
        <v>30</v>
      </c>
      <c r="N146" s="33" t="s">
        <v>30</v>
      </c>
      <c r="O146" s="33" t="s">
        <v>95</v>
      </c>
      <c r="P146" s="33" t="s">
        <v>112</v>
      </c>
      <c r="Q146" s="32"/>
      <c r="R146" s="37">
        <v>45453</v>
      </c>
      <c r="S146" s="33" t="s">
        <v>69</v>
      </c>
      <c r="T146" s="33" t="s">
        <v>370</v>
      </c>
    </row>
    <row r="147" spans="2:20" x14ac:dyDescent="0.25">
      <c r="B147" s="3">
        <v>114</v>
      </c>
      <c r="C147" s="3" t="s">
        <v>21</v>
      </c>
      <c r="D147" s="4" t="s">
        <v>526</v>
      </c>
      <c r="E147" s="4">
        <v>3</v>
      </c>
      <c r="F147" s="3" t="s">
        <v>229</v>
      </c>
      <c r="G147" s="6" t="s">
        <v>527</v>
      </c>
      <c r="H147" s="14" t="s">
        <v>528</v>
      </c>
      <c r="I147" s="46">
        <v>66000</v>
      </c>
      <c r="J147" s="14" t="s">
        <v>529</v>
      </c>
      <c r="K147" s="4" t="s">
        <v>58</v>
      </c>
      <c r="L147" s="4" t="s">
        <v>530</v>
      </c>
      <c r="M147" s="4" t="s">
        <v>29</v>
      </c>
      <c r="N147" s="4" t="s">
        <v>29</v>
      </c>
      <c r="O147" s="4" t="s">
        <v>160</v>
      </c>
      <c r="P147" s="4" t="s">
        <v>112</v>
      </c>
      <c r="Q147" s="3"/>
      <c r="R147" s="11">
        <v>45505</v>
      </c>
      <c r="S147" s="4" t="s">
        <v>69</v>
      </c>
      <c r="T147" s="4" t="s">
        <v>531</v>
      </c>
    </row>
    <row r="148" spans="2:20" x14ac:dyDescent="0.25">
      <c r="B148" s="7">
        <v>115</v>
      </c>
      <c r="C148" s="7" t="s">
        <v>21</v>
      </c>
      <c r="D148" s="8" t="s">
        <v>526</v>
      </c>
      <c r="E148" s="8">
        <v>3</v>
      </c>
      <c r="F148" s="7" t="s">
        <v>229</v>
      </c>
      <c r="G148" s="10" t="s">
        <v>527</v>
      </c>
      <c r="H148" s="13" t="s">
        <v>532</v>
      </c>
      <c r="I148" s="45">
        <v>42000</v>
      </c>
      <c r="J148" s="13" t="s">
        <v>529</v>
      </c>
      <c r="K148" s="8" t="s">
        <v>58</v>
      </c>
      <c r="L148" s="8" t="s">
        <v>530</v>
      </c>
      <c r="M148" s="8" t="s">
        <v>29</v>
      </c>
      <c r="N148" s="8" t="s">
        <v>29</v>
      </c>
      <c r="O148" s="8" t="s">
        <v>160</v>
      </c>
      <c r="P148" s="8" t="s">
        <v>112</v>
      </c>
      <c r="Q148" s="7"/>
      <c r="R148" s="12">
        <v>45505</v>
      </c>
      <c r="S148" s="8" t="s">
        <v>69</v>
      </c>
      <c r="T148" s="7" t="s">
        <v>531</v>
      </c>
    </row>
    <row r="149" spans="2:20" x14ac:dyDescent="0.25">
      <c r="B149" s="3">
        <v>116</v>
      </c>
      <c r="C149" s="3" t="s">
        <v>21</v>
      </c>
      <c r="D149" s="4" t="s">
        <v>526</v>
      </c>
      <c r="E149" s="4">
        <v>3</v>
      </c>
      <c r="F149" s="3" t="s">
        <v>229</v>
      </c>
      <c r="G149" s="6" t="s">
        <v>527</v>
      </c>
      <c r="H149" s="14" t="s">
        <v>533</v>
      </c>
      <c r="I149" s="46">
        <v>33000</v>
      </c>
      <c r="J149" s="14" t="s">
        <v>529</v>
      </c>
      <c r="K149" s="4" t="s">
        <v>58</v>
      </c>
      <c r="L149" s="4" t="s">
        <v>530</v>
      </c>
      <c r="M149" s="4" t="s">
        <v>29</v>
      </c>
      <c r="N149" s="4" t="s">
        <v>29</v>
      </c>
      <c r="O149" s="4" t="s">
        <v>160</v>
      </c>
      <c r="P149" s="4" t="s">
        <v>112</v>
      </c>
      <c r="Q149" s="3"/>
      <c r="R149" s="11">
        <v>45505</v>
      </c>
      <c r="S149" s="4" t="s">
        <v>69</v>
      </c>
      <c r="T149" s="4" t="s">
        <v>531</v>
      </c>
    </row>
    <row r="150" spans="2:20" x14ac:dyDescent="0.25">
      <c r="B150" s="7">
        <v>117</v>
      </c>
      <c r="C150" s="7" t="s">
        <v>21</v>
      </c>
      <c r="D150" s="8" t="s">
        <v>526</v>
      </c>
      <c r="E150" s="8">
        <v>3</v>
      </c>
      <c r="F150" s="7" t="s">
        <v>229</v>
      </c>
      <c r="G150" s="10" t="s">
        <v>527</v>
      </c>
      <c r="H150" s="13" t="s">
        <v>534</v>
      </c>
      <c r="I150" s="45">
        <v>35000</v>
      </c>
      <c r="J150" s="13" t="s">
        <v>529</v>
      </c>
      <c r="K150" s="8" t="s">
        <v>58</v>
      </c>
      <c r="L150" s="8" t="s">
        <v>530</v>
      </c>
      <c r="M150" s="8" t="s">
        <v>29</v>
      </c>
      <c r="N150" s="8" t="s">
        <v>29</v>
      </c>
      <c r="O150" s="8" t="s">
        <v>160</v>
      </c>
      <c r="P150" s="8" t="s">
        <v>112</v>
      </c>
      <c r="Q150" s="7"/>
      <c r="R150" s="12">
        <v>45505</v>
      </c>
      <c r="S150" s="8" t="s">
        <v>69</v>
      </c>
      <c r="T150" s="7" t="s">
        <v>531</v>
      </c>
    </row>
    <row r="151" spans="2:20" x14ac:dyDescent="0.25">
      <c r="B151" s="3">
        <v>118</v>
      </c>
      <c r="C151" s="3" t="s">
        <v>21</v>
      </c>
      <c r="D151" s="4" t="s">
        <v>526</v>
      </c>
      <c r="E151" s="4">
        <v>3</v>
      </c>
      <c r="F151" s="3" t="s">
        <v>535</v>
      </c>
      <c r="G151" s="6" t="s">
        <v>527</v>
      </c>
      <c r="H151" s="14" t="s">
        <v>536</v>
      </c>
      <c r="I151" s="46">
        <v>5100</v>
      </c>
      <c r="J151" s="14" t="s">
        <v>537</v>
      </c>
      <c r="K151" s="4" t="s">
        <v>58</v>
      </c>
      <c r="L151" s="4" t="s">
        <v>538</v>
      </c>
      <c r="M151" s="4" t="s">
        <v>29</v>
      </c>
      <c r="N151" s="4" t="s">
        <v>29</v>
      </c>
      <c r="O151" s="4" t="s">
        <v>160</v>
      </c>
      <c r="P151" s="4" t="s">
        <v>869</v>
      </c>
      <c r="Q151" s="3"/>
      <c r="R151" s="11">
        <v>45505</v>
      </c>
      <c r="S151" s="4" t="s">
        <v>34</v>
      </c>
      <c r="T151" s="4" t="s">
        <v>539</v>
      </c>
    </row>
    <row r="152" spans="2:20" x14ac:dyDescent="0.25">
      <c r="B152" s="7">
        <v>119</v>
      </c>
      <c r="C152" s="7" t="s">
        <v>21</v>
      </c>
      <c r="D152" s="8" t="s">
        <v>526</v>
      </c>
      <c r="E152" s="8">
        <v>3</v>
      </c>
      <c r="F152" s="7" t="s">
        <v>540</v>
      </c>
      <c r="G152" s="10" t="s">
        <v>527</v>
      </c>
      <c r="H152" s="13" t="s">
        <v>541</v>
      </c>
      <c r="I152" s="45">
        <v>1521140.3</v>
      </c>
      <c r="J152" s="13" t="s">
        <v>542</v>
      </c>
      <c r="K152" s="8" t="s">
        <v>58</v>
      </c>
      <c r="L152" s="8" t="s">
        <v>530</v>
      </c>
      <c r="M152" s="8" t="s">
        <v>29</v>
      </c>
      <c r="N152" s="8" t="s">
        <v>29</v>
      </c>
      <c r="O152" s="8" t="s">
        <v>49</v>
      </c>
      <c r="P152" s="8" t="s">
        <v>543</v>
      </c>
      <c r="Q152" s="7" t="s">
        <v>544</v>
      </c>
      <c r="R152" s="12" t="s">
        <v>58</v>
      </c>
      <c r="S152" s="8" t="s">
        <v>43</v>
      </c>
      <c r="T152" s="7" t="s">
        <v>545</v>
      </c>
    </row>
    <row r="153" spans="2:20" x14ac:dyDescent="0.25">
      <c r="B153" s="3">
        <v>120</v>
      </c>
      <c r="C153" s="3" t="s">
        <v>21</v>
      </c>
      <c r="D153" s="4" t="s">
        <v>526</v>
      </c>
      <c r="E153" s="4">
        <v>3</v>
      </c>
      <c r="F153" s="3" t="s">
        <v>546</v>
      </c>
      <c r="G153" s="6" t="s">
        <v>527</v>
      </c>
      <c r="H153" s="14" t="s">
        <v>547</v>
      </c>
      <c r="I153" s="46">
        <v>39476</v>
      </c>
      <c r="J153" s="14" t="s">
        <v>548</v>
      </c>
      <c r="K153" s="4" t="s">
        <v>58</v>
      </c>
      <c r="L153" s="4" t="s">
        <v>538</v>
      </c>
      <c r="M153" s="4" t="s">
        <v>29</v>
      </c>
      <c r="N153" s="4" t="s">
        <v>29</v>
      </c>
      <c r="O153" s="4" t="s">
        <v>95</v>
      </c>
      <c r="P153" s="4" t="s">
        <v>549</v>
      </c>
      <c r="Q153" s="142" t="s">
        <v>910</v>
      </c>
      <c r="R153" s="11">
        <v>45619</v>
      </c>
      <c r="S153" s="4" t="s">
        <v>34</v>
      </c>
      <c r="T153" s="4" t="s">
        <v>288</v>
      </c>
    </row>
    <row r="154" spans="2:20" x14ac:dyDescent="0.25">
      <c r="B154" s="7">
        <v>121</v>
      </c>
      <c r="C154" s="7" t="s">
        <v>21</v>
      </c>
      <c r="D154" s="8" t="s">
        <v>526</v>
      </c>
      <c r="E154" s="8">
        <v>3</v>
      </c>
      <c r="F154" s="7" t="s">
        <v>550</v>
      </c>
      <c r="G154" s="10" t="s">
        <v>527</v>
      </c>
      <c r="H154" s="13" t="s">
        <v>551</v>
      </c>
      <c r="I154" s="45">
        <v>147426</v>
      </c>
      <c r="J154" s="13" t="s">
        <v>552</v>
      </c>
      <c r="K154" s="8" t="s">
        <v>58</v>
      </c>
      <c r="L154" s="8" t="s">
        <v>530</v>
      </c>
      <c r="M154" s="8" t="s">
        <v>29</v>
      </c>
      <c r="N154" s="8" t="s">
        <v>29</v>
      </c>
      <c r="O154" s="8" t="s">
        <v>49</v>
      </c>
      <c r="P154" s="8" t="s">
        <v>553</v>
      </c>
      <c r="Q154" s="7" t="s">
        <v>554</v>
      </c>
      <c r="R154" s="12"/>
      <c r="S154" s="8" t="s">
        <v>69</v>
      </c>
      <c r="T154" s="7" t="s">
        <v>355</v>
      </c>
    </row>
    <row r="155" spans="2:20" x14ac:dyDescent="0.25">
      <c r="B155" s="3">
        <v>122</v>
      </c>
      <c r="C155" s="3" t="s">
        <v>21</v>
      </c>
      <c r="D155" s="4" t="s">
        <v>555</v>
      </c>
      <c r="E155" s="4">
        <v>3</v>
      </c>
      <c r="F155" s="3" t="s">
        <v>248</v>
      </c>
      <c r="G155" s="6" t="s">
        <v>556</v>
      </c>
      <c r="H155" s="14" t="s">
        <v>557</v>
      </c>
      <c r="I155" s="46">
        <v>311975</v>
      </c>
      <c r="J155" s="14" t="s">
        <v>558</v>
      </c>
      <c r="K155" s="4" t="s">
        <v>58</v>
      </c>
      <c r="L155" s="4" t="s">
        <v>304</v>
      </c>
      <c r="M155" s="4" t="s">
        <v>29</v>
      </c>
      <c r="N155" s="4" t="s">
        <v>29</v>
      </c>
      <c r="O155" s="4" t="s">
        <v>58</v>
      </c>
      <c r="P155" s="4" t="s">
        <v>58</v>
      </c>
      <c r="Q155" s="3" t="s">
        <v>58</v>
      </c>
      <c r="R155" s="11" t="s">
        <v>58</v>
      </c>
      <c r="S155" s="4" t="s">
        <v>58</v>
      </c>
      <c r="T155" s="4" t="s">
        <v>251</v>
      </c>
    </row>
    <row r="156" spans="2:20" x14ac:dyDescent="0.25">
      <c r="B156" s="7">
        <v>123</v>
      </c>
      <c r="C156" s="7" t="s">
        <v>21</v>
      </c>
      <c r="D156" s="8" t="s">
        <v>555</v>
      </c>
      <c r="E156" s="8">
        <v>3</v>
      </c>
      <c r="F156" s="7" t="s">
        <v>248</v>
      </c>
      <c r="G156" s="10" t="s">
        <v>556</v>
      </c>
      <c r="H156" s="13" t="s">
        <v>559</v>
      </c>
      <c r="I156" s="45">
        <v>124790</v>
      </c>
      <c r="J156" s="13" t="s">
        <v>560</v>
      </c>
      <c r="K156" s="8" t="s">
        <v>58</v>
      </c>
      <c r="L156" s="8" t="s">
        <v>304</v>
      </c>
      <c r="M156" s="8" t="s">
        <v>29</v>
      </c>
      <c r="N156" s="8" t="s">
        <v>29</v>
      </c>
      <c r="O156" s="8" t="s">
        <v>58</v>
      </c>
      <c r="P156" s="8" t="s">
        <v>58</v>
      </c>
      <c r="Q156" s="7" t="s">
        <v>58</v>
      </c>
      <c r="R156" s="12" t="s">
        <v>58</v>
      </c>
      <c r="S156" s="8" t="s">
        <v>34</v>
      </c>
      <c r="T156" s="7" t="s">
        <v>251</v>
      </c>
    </row>
    <row r="157" spans="2:20" x14ac:dyDescent="0.25">
      <c r="B157" s="3">
        <v>124</v>
      </c>
      <c r="C157" s="3" t="s">
        <v>21</v>
      </c>
      <c r="D157" s="4" t="s">
        <v>561</v>
      </c>
      <c r="E157" s="4">
        <v>3</v>
      </c>
      <c r="F157" s="3" t="s">
        <v>248</v>
      </c>
      <c r="G157" s="6" t="s">
        <v>562</v>
      </c>
      <c r="H157" s="14" t="s">
        <v>563</v>
      </c>
      <c r="I157" s="46">
        <v>609846.6</v>
      </c>
      <c r="J157" s="14" t="s">
        <v>564</v>
      </c>
      <c r="K157" s="4" t="s">
        <v>58</v>
      </c>
      <c r="L157" s="4" t="s">
        <v>565</v>
      </c>
      <c r="M157" s="4" t="s">
        <v>30</v>
      </c>
      <c r="N157" s="4" t="s">
        <v>29</v>
      </c>
      <c r="O157" s="4" t="s">
        <v>58</v>
      </c>
      <c r="P157" s="4" t="s">
        <v>58</v>
      </c>
      <c r="Q157" s="3"/>
      <c r="R157" s="11"/>
      <c r="S157" s="4" t="s">
        <v>58</v>
      </c>
      <c r="T157" s="4" t="s">
        <v>566</v>
      </c>
    </row>
    <row r="158" spans="2:20" x14ac:dyDescent="0.25">
      <c r="B158" s="7">
        <v>125</v>
      </c>
      <c r="C158" s="7" t="s">
        <v>21</v>
      </c>
      <c r="D158" s="8" t="s">
        <v>561</v>
      </c>
      <c r="E158" s="8">
        <v>3</v>
      </c>
      <c r="F158" s="7" t="s">
        <v>248</v>
      </c>
      <c r="G158" s="10" t="s">
        <v>562</v>
      </c>
      <c r="H158" s="13" t="s">
        <v>567</v>
      </c>
      <c r="I158" s="45">
        <v>180694.18</v>
      </c>
      <c r="J158" s="13" t="s">
        <v>568</v>
      </c>
      <c r="K158" s="8" t="s">
        <v>58</v>
      </c>
      <c r="L158" s="8" t="s">
        <v>565</v>
      </c>
      <c r="M158" s="8" t="s">
        <v>30</v>
      </c>
      <c r="N158" s="8" t="s">
        <v>29</v>
      </c>
      <c r="O158" s="8" t="s">
        <v>58</v>
      </c>
      <c r="P158" s="8" t="s">
        <v>58</v>
      </c>
      <c r="Q158" s="7"/>
      <c r="R158" s="12"/>
      <c r="S158" s="8" t="s">
        <v>58</v>
      </c>
      <c r="T158" s="7" t="s">
        <v>566</v>
      </c>
    </row>
    <row r="159" spans="2:20" x14ac:dyDescent="0.25">
      <c r="B159" s="3">
        <v>126</v>
      </c>
      <c r="C159" s="3" t="s">
        <v>21</v>
      </c>
      <c r="D159" s="4" t="s">
        <v>561</v>
      </c>
      <c r="E159" s="4">
        <v>3</v>
      </c>
      <c r="F159" s="3" t="s">
        <v>248</v>
      </c>
      <c r="G159" s="6" t="s">
        <v>562</v>
      </c>
      <c r="H159" s="14" t="s">
        <v>569</v>
      </c>
      <c r="I159" s="46">
        <v>225870.16</v>
      </c>
      <c r="J159" s="14" t="s">
        <v>570</v>
      </c>
      <c r="K159" s="4" t="s">
        <v>58</v>
      </c>
      <c r="L159" s="4" t="s">
        <v>565</v>
      </c>
      <c r="M159" s="4" t="s">
        <v>30</v>
      </c>
      <c r="N159" s="4" t="s">
        <v>29</v>
      </c>
      <c r="O159" s="4" t="s">
        <v>58</v>
      </c>
      <c r="P159" s="4" t="s">
        <v>58</v>
      </c>
      <c r="Q159" s="3"/>
      <c r="R159" s="11"/>
      <c r="S159" s="4" t="s">
        <v>58</v>
      </c>
      <c r="T159" s="4" t="s">
        <v>251</v>
      </c>
    </row>
    <row r="160" spans="2:20" x14ac:dyDescent="0.25">
      <c r="B160" s="7">
        <v>127</v>
      </c>
      <c r="C160" s="7" t="s">
        <v>21</v>
      </c>
      <c r="D160" s="8" t="s">
        <v>571</v>
      </c>
      <c r="E160" s="8">
        <v>3</v>
      </c>
      <c r="F160" s="7" t="s">
        <v>77</v>
      </c>
      <c r="G160" s="10" t="s">
        <v>572</v>
      </c>
      <c r="H160" s="13" t="s">
        <v>573</v>
      </c>
      <c r="I160" s="124">
        <f>6899604+396+18-61000-54540-3000-27829-12309</f>
        <v>6741340</v>
      </c>
      <c r="J160" s="13" t="s">
        <v>574</v>
      </c>
      <c r="K160" s="8" t="s">
        <v>58</v>
      </c>
      <c r="L160" s="8" t="s">
        <v>40</v>
      </c>
      <c r="M160" s="8" t="s">
        <v>29</v>
      </c>
      <c r="N160" s="8" t="s">
        <v>30</v>
      </c>
      <c r="O160" s="8" t="s">
        <v>31</v>
      </c>
      <c r="P160" s="8" t="s">
        <v>575</v>
      </c>
      <c r="Q160" s="7" t="s">
        <v>576</v>
      </c>
      <c r="R160" s="12">
        <v>45336</v>
      </c>
      <c r="S160" s="8" t="s">
        <v>43</v>
      </c>
      <c r="T160" s="7" t="s">
        <v>143</v>
      </c>
    </row>
    <row r="161" spans="2:20" x14ac:dyDescent="0.25">
      <c r="B161" s="3">
        <v>128</v>
      </c>
      <c r="C161" s="3" t="s">
        <v>21</v>
      </c>
      <c r="D161" s="4" t="s">
        <v>571</v>
      </c>
      <c r="E161" s="4">
        <v>3</v>
      </c>
      <c r="F161" s="3" t="s">
        <v>77</v>
      </c>
      <c r="G161" s="6" t="s">
        <v>572</v>
      </c>
      <c r="H161" s="14" t="s">
        <v>577</v>
      </c>
      <c r="I161" s="46">
        <v>1200000</v>
      </c>
      <c r="J161" s="14" t="s">
        <v>578</v>
      </c>
      <c r="K161" s="4" t="s">
        <v>58</v>
      </c>
      <c r="L161" s="4" t="s">
        <v>40</v>
      </c>
      <c r="M161" s="4" t="s">
        <v>29</v>
      </c>
      <c r="N161" s="4" t="s">
        <v>30</v>
      </c>
      <c r="O161" s="4" t="s">
        <v>31</v>
      </c>
      <c r="P161" s="4" t="s">
        <v>879</v>
      </c>
      <c r="Q161" s="3" t="s">
        <v>880</v>
      </c>
      <c r="R161" s="11">
        <v>45323</v>
      </c>
      <c r="S161" s="4" t="s">
        <v>43</v>
      </c>
      <c r="T161" s="4" t="s">
        <v>143</v>
      </c>
    </row>
    <row r="162" spans="2:20" x14ac:dyDescent="0.25">
      <c r="B162" s="7">
        <v>129</v>
      </c>
      <c r="C162" s="7" t="s">
        <v>21</v>
      </c>
      <c r="D162" s="8" t="s">
        <v>571</v>
      </c>
      <c r="E162" s="8">
        <v>3</v>
      </c>
      <c r="F162" s="7" t="s">
        <v>579</v>
      </c>
      <c r="G162" s="10" t="s">
        <v>572</v>
      </c>
      <c r="H162" s="13" t="s">
        <v>580</v>
      </c>
      <c r="I162" s="45">
        <v>38480</v>
      </c>
      <c r="J162" s="13" t="s">
        <v>581</v>
      </c>
      <c r="K162" s="8" t="s">
        <v>58</v>
      </c>
      <c r="L162" s="8" t="s">
        <v>40</v>
      </c>
      <c r="M162" s="8" t="s">
        <v>29</v>
      </c>
      <c r="N162" s="8" t="s">
        <v>30</v>
      </c>
      <c r="O162" s="8" t="s">
        <v>31</v>
      </c>
      <c r="P162" s="8" t="s">
        <v>582</v>
      </c>
      <c r="Q162" s="7" t="s">
        <v>583</v>
      </c>
      <c r="R162" s="12">
        <v>45459</v>
      </c>
      <c r="S162" s="8" t="s">
        <v>69</v>
      </c>
      <c r="T162" s="7" t="s">
        <v>584</v>
      </c>
    </row>
    <row r="163" spans="2:20" x14ac:dyDescent="0.25">
      <c r="B163" s="3">
        <v>130</v>
      </c>
      <c r="C163" s="3" t="s">
        <v>21</v>
      </c>
      <c r="D163" s="4" t="s">
        <v>571</v>
      </c>
      <c r="E163" s="4">
        <v>3</v>
      </c>
      <c r="F163" s="3" t="s">
        <v>229</v>
      </c>
      <c r="G163" s="6" t="s">
        <v>572</v>
      </c>
      <c r="H163" s="14" t="s">
        <v>585</v>
      </c>
      <c r="I163" s="46">
        <v>14300</v>
      </c>
      <c r="J163" s="14" t="s">
        <v>586</v>
      </c>
      <c r="K163" s="4" t="s">
        <v>58</v>
      </c>
      <c r="L163" s="4" t="s">
        <v>587</v>
      </c>
      <c r="M163" s="4" t="s">
        <v>29</v>
      </c>
      <c r="N163" s="4" t="s">
        <v>30</v>
      </c>
      <c r="O163" s="4" t="s">
        <v>31</v>
      </c>
      <c r="P163" s="4" t="s">
        <v>588</v>
      </c>
      <c r="Q163" s="3" t="s">
        <v>589</v>
      </c>
      <c r="R163" s="11">
        <v>45534</v>
      </c>
      <c r="S163" s="4" t="s">
        <v>43</v>
      </c>
      <c r="T163" s="4" t="s">
        <v>590</v>
      </c>
    </row>
    <row r="164" spans="2:20" x14ac:dyDescent="0.25">
      <c r="B164" s="7">
        <v>131.1</v>
      </c>
      <c r="C164" s="7" t="s">
        <v>21</v>
      </c>
      <c r="D164" s="8" t="s">
        <v>571</v>
      </c>
      <c r="E164" s="8">
        <v>3</v>
      </c>
      <c r="F164" s="7" t="s">
        <v>535</v>
      </c>
      <c r="G164" s="10" t="s">
        <v>572</v>
      </c>
      <c r="H164" s="13" t="s">
        <v>591</v>
      </c>
      <c r="I164" s="126">
        <f>220460+54540+3000</f>
        <v>278000</v>
      </c>
      <c r="J164" s="13" t="s">
        <v>592</v>
      </c>
      <c r="K164" s="8" t="s">
        <v>58</v>
      </c>
      <c r="L164" s="8" t="s">
        <v>587</v>
      </c>
      <c r="M164" s="8" t="s">
        <v>29</v>
      </c>
      <c r="N164" s="8" t="s">
        <v>30</v>
      </c>
      <c r="O164" s="8" t="s">
        <v>95</v>
      </c>
      <c r="P164" s="8" t="s">
        <v>884</v>
      </c>
      <c r="Q164" s="7"/>
      <c r="R164" s="12">
        <v>45504</v>
      </c>
      <c r="S164" s="8" t="s">
        <v>43</v>
      </c>
      <c r="T164" s="7" t="s">
        <v>593</v>
      </c>
    </row>
    <row r="165" spans="2:20" x14ac:dyDescent="0.25">
      <c r="B165" s="3">
        <v>131.19999999999999</v>
      </c>
      <c r="C165" s="3" t="s">
        <v>21</v>
      </c>
      <c r="D165" s="4" t="s">
        <v>571</v>
      </c>
      <c r="E165" s="4">
        <v>3</v>
      </c>
      <c r="F165" s="3" t="s">
        <v>535</v>
      </c>
      <c r="G165" s="6" t="s">
        <v>572</v>
      </c>
      <c r="H165" s="14" t="s">
        <v>594</v>
      </c>
      <c r="I165" s="105">
        <v>120836</v>
      </c>
      <c r="J165" s="14" t="s">
        <v>592</v>
      </c>
      <c r="K165" s="4" t="s">
        <v>58</v>
      </c>
      <c r="L165" s="4" t="s">
        <v>587</v>
      </c>
      <c r="M165" s="4" t="s">
        <v>29</v>
      </c>
      <c r="N165" s="4" t="s">
        <v>30</v>
      </c>
      <c r="O165" s="4" t="s">
        <v>49</v>
      </c>
      <c r="P165" s="4" t="s">
        <v>595</v>
      </c>
      <c r="Q165" s="110" t="s">
        <v>885</v>
      </c>
      <c r="R165" s="11">
        <v>45504</v>
      </c>
      <c r="S165" s="4" t="s">
        <v>43</v>
      </c>
      <c r="T165" s="4" t="s">
        <v>593</v>
      </c>
    </row>
    <row r="166" spans="2:20" x14ac:dyDescent="0.25">
      <c r="B166" s="7">
        <v>132.1</v>
      </c>
      <c r="C166" s="7" t="s">
        <v>21</v>
      </c>
      <c r="D166" s="8" t="s">
        <v>571</v>
      </c>
      <c r="E166" s="8">
        <v>3</v>
      </c>
      <c r="F166" s="7" t="s">
        <v>535</v>
      </c>
      <c r="G166" s="10" t="s">
        <v>572</v>
      </c>
      <c r="H166" s="13" t="s">
        <v>596</v>
      </c>
      <c r="I166" s="45">
        <v>21000</v>
      </c>
      <c r="J166" s="13" t="s">
        <v>597</v>
      </c>
      <c r="K166" s="8" t="s">
        <v>58</v>
      </c>
      <c r="L166" s="8" t="s">
        <v>587</v>
      </c>
      <c r="M166" s="8" t="s">
        <v>29</v>
      </c>
      <c r="N166" s="8" t="s">
        <v>30</v>
      </c>
      <c r="O166" s="8" t="s">
        <v>31</v>
      </c>
      <c r="P166" s="8" t="s">
        <v>598</v>
      </c>
      <c r="Q166" s="7" t="s">
        <v>599</v>
      </c>
      <c r="R166" s="12">
        <v>45528</v>
      </c>
      <c r="S166" s="8" t="s">
        <v>43</v>
      </c>
      <c r="T166" s="7" t="s">
        <v>600</v>
      </c>
    </row>
    <row r="167" spans="2:20" x14ac:dyDescent="0.25">
      <c r="B167" s="3">
        <v>132.19999999999999</v>
      </c>
      <c r="C167" s="3" t="s">
        <v>21</v>
      </c>
      <c r="D167" s="4" t="s">
        <v>571</v>
      </c>
      <c r="E167" s="4">
        <v>3</v>
      </c>
      <c r="F167" s="3" t="s">
        <v>535</v>
      </c>
      <c r="G167" s="6" t="s">
        <v>572</v>
      </c>
      <c r="H167" s="14" t="s">
        <v>601</v>
      </c>
      <c r="I167" s="46">
        <v>55468</v>
      </c>
      <c r="J167" s="14" t="s">
        <v>597</v>
      </c>
      <c r="K167" s="4" t="s">
        <v>58</v>
      </c>
      <c r="L167" s="4" t="s">
        <v>587</v>
      </c>
      <c r="M167" s="4" t="s">
        <v>29</v>
      </c>
      <c r="N167" s="4" t="s">
        <v>30</v>
      </c>
      <c r="O167" s="4" t="s">
        <v>31</v>
      </c>
      <c r="P167" s="4" t="s">
        <v>602</v>
      </c>
      <c r="Q167" s="3" t="s">
        <v>603</v>
      </c>
      <c r="R167" s="11">
        <v>45528</v>
      </c>
      <c r="S167" s="4" t="s">
        <v>43</v>
      </c>
      <c r="T167" s="4" t="s">
        <v>600</v>
      </c>
    </row>
    <row r="168" spans="2:20" x14ac:dyDescent="0.25">
      <c r="B168" s="7">
        <v>132.30000000000001</v>
      </c>
      <c r="C168" s="7" t="s">
        <v>21</v>
      </c>
      <c r="D168" s="8" t="s">
        <v>571</v>
      </c>
      <c r="E168" s="8">
        <v>3</v>
      </c>
      <c r="F168" s="7" t="s">
        <v>535</v>
      </c>
      <c r="G168" s="10" t="s">
        <v>572</v>
      </c>
      <c r="H168" s="13" t="s">
        <v>604</v>
      </c>
      <c r="I168" s="45">
        <v>185625</v>
      </c>
      <c r="J168" s="13" t="s">
        <v>597</v>
      </c>
      <c r="K168" s="8" t="s">
        <v>58</v>
      </c>
      <c r="L168" s="8" t="s">
        <v>587</v>
      </c>
      <c r="M168" s="8" t="s">
        <v>29</v>
      </c>
      <c r="N168" s="8" t="s">
        <v>30</v>
      </c>
      <c r="O168" s="8" t="s">
        <v>31</v>
      </c>
      <c r="P168" s="8" t="s">
        <v>605</v>
      </c>
      <c r="Q168" s="7"/>
      <c r="R168" s="12">
        <v>45528</v>
      </c>
      <c r="S168" s="8" t="s">
        <v>43</v>
      </c>
      <c r="T168" s="7" t="s">
        <v>600</v>
      </c>
    </row>
    <row r="169" spans="2:20" x14ac:dyDescent="0.25">
      <c r="B169" s="3">
        <v>133.1</v>
      </c>
      <c r="C169" s="3" t="s">
        <v>21</v>
      </c>
      <c r="D169" s="4" t="s">
        <v>571</v>
      </c>
      <c r="E169" s="4">
        <v>3</v>
      </c>
      <c r="F169" s="3" t="s">
        <v>229</v>
      </c>
      <c r="G169" s="6" t="s">
        <v>572</v>
      </c>
      <c r="H169" s="14" t="s">
        <v>606</v>
      </c>
      <c r="I169" s="46">
        <f>14560*6/12</f>
        <v>7280</v>
      </c>
      <c r="J169" s="14" t="s">
        <v>607</v>
      </c>
      <c r="K169" s="4" t="s">
        <v>58</v>
      </c>
      <c r="L169" s="4" t="s">
        <v>587</v>
      </c>
      <c r="M169" s="4" t="s">
        <v>29</v>
      </c>
      <c r="N169" s="4" t="s">
        <v>30</v>
      </c>
      <c r="O169" s="4" t="s">
        <v>49</v>
      </c>
      <c r="P169" s="4" t="s">
        <v>608</v>
      </c>
      <c r="Q169" s="3" t="s">
        <v>609</v>
      </c>
      <c r="R169" s="11" t="s">
        <v>58</v>
      </c>
      <c r="S169" s="4" t="s">
        <v>69</v>
      </c>
      <c r="T169" s="4" t="s">
        <v>531</v>
      </c>
    </row>
    <row r="170" spans="2:20" x14ac:dyDescent="0.25">
      <c r="B170" s="7">
        <v>133.19999999999999</v>
      </c>
      <c r="C170" s="7" t="s">
        <v>21</v>
      </c>
      <c r="D170" s="8" t="s">
        <v>571</v>
      </c>
      <c r="E170" s="8">
        <v>3</v>
      </c>
      <c r="F170" s="7" t="s">
        <v>229</v>
      </c>
      <c r="G170" s="10" t="s">
        <v>572</v>
      </c>
      <c r="H170" s="13" t="s">
        <v>610</v>
      </c>
      <c r="I170" s="45">
        <v>15435</v>
      </c>
      <c r="J170" s="13" t="s">
        <v>607</v>
      </c>
      <c r="K170" s="8" t="s">
        <v>58</v>
      </c>
      <c r="L170" s="8" t="s">
        <v>587</v>
      </c>
      <c r="M170" s="8" t="s">
        <v>29</v>
      </c>
      <c r="N170" s="8" t="s">
        <v>30</v>
      </c>
      <c r="O170" s="8" t="s">
        <v>160</v>
      </c>
      <c r="P170" s="8" t="s">
        <v>840</v>
      </c>
      <c r="Q170" s="7" t="s">
        <v>58</v>
      </c>
      <c r="R170" s="12">
        <v>45464</v>
      </c>
      <c r="S170" s="8" t="s">
        <v>69</v>
      </c>
      <c r="T170" s="7" t="s">
        <v>531</v>
      </c>
    </row>
    <row r="171" spans="2:20" x14ac:dyDescent="0.25">
      <c r="B171" s="3">
        <v>134</v>
      </c>
      <c r="C171" s="3" t="s">
        <v>21</v>
      </c>
      <c r="D171" s="4" t="s">
        <v>571</v>
      </c>
      <c r="E171" s="4">
        <v>3</v>
      </c>
      <c r="F171" s="3" t="s">
        <v>23</v>
      </c>
      <c r="G171" s="6" t="s">
        <v>572</v>
      </c>
      <c r="H171" s="14" t="s">
        <v>611</v>
      </c>
      <c r="I171" s="46">
        <v>200000</v>
      </c>
      <c r="J171" s="14" t="s">
        <v>612</v>
      </c>
      <c r="K171" s="4" t="s">
        <v>58</v>
      </c>
      <c r="L171" s="4" t="s">
        <v>587</v>
      </c>
      <c r="M171" s="4" t="s">
        <v>29</v>
      </c>
      <c r="N171" s="4" t="s">
        <v>30</v>
      </c>
      <c r="O171" s="4" t="s">
        <v>58</v>
      </c>
      <c r="P171" s="4" t="s">
        <v>613</v>
      </c>
      <c r="Q171" s="3" t="s">
        <v>614</v>
      </c>
      <c r="R171" s="11">
        <v>45440</v>
      </c>
      <c r="S171" s="4" t="s">
        <v>69</v>
      </c>
      <c r="T171" s="4" t="s">
        <v>355</v>
      </c>
    </row>
    <row r="172" spans="2:20" x14ac:dyDescent="0.25">
      <c r="B172" s="7">
        <v>135</v>
      </c>
      <c r="C172" s="7" t="s">
        <v>21</v>
      </c>
      <c r="D172" s="8" t="s">
        <v>571</v>
      </c>
      <c r="E172" s="8">
        <v>3</v>
      </c>
      <c r="F172" s="7" t="s">
        <v>579</v>
      </c>
      <c r="G172" s="10" t="s">
        <v>572</v>
      </c>
      <c r="H172" s="13" t="s">
        <v>615</v>
      </c>
      <c r="I172" s="45">
        <f>159897-396-188-6800-1528-100-4462-94423</f>
        <v>52000</v>
      </c>
      <c r="J172" s="13" t="s">
        <v>616</v>
      </c>
      <c r="K172" s="8" t="s">
        <v>58</v>
      </c>
      <c r="L172" s="8" t="s">
        <v>587</v>
      </c>
      <c r="M172" s="8" t="s">
        <v>29</v>
      </c>
      <c r="N172" s="8" t="s">
        <v>30</v>
      </c>
      <c r="O172" s="8" t="s">
        <v>31</v>
      </c>
      <c r="P172" s="8" t="s">
        <v>617</v>
      </c>
      <c r="Q172" s="7" t="s">
        <v>618</v>
      </c>
      <c r="R172" s="12">
        <v>45523</v>
      </c>
      <c r="S172" s="8" t="s">
        <v>69</v>
      </c>
      <c r="T172" s="7" t="s">
        <v>619</v>
      </c>
    </row>
    <row r="173" spans="2:20" x14ac:dyDescent="0.25">
      <c r="B173" s="3">
        <v>136</v>
      </c>
      <c r="C173" s="3" t="s">
        <v>21</v>
      </c>
      <c r="D173" s="4" t="s">
        <v>571</v>
      </c>
      <c r="E173" s="4">
        <v>3</v>
      </c>
      <c r="F173" s="3" t="s">
        <v>229</v>
      </c>
      <c r="G173" s="6" t="s">
        <v>572</v>
      </c>
      <c r="H173" s="14" t="s">
        <v>620</v>
      </c>
      <c r="I173" s="126">
        <f>1862+27829+12309</f>
        <v>42000</v>
      </c>
      <c r="J173" s="14" t="s">
        <v>621</v>
      </c>
      <c r="K173" s="4" t="s">
        <v>58</v>
      </c>
      <c r="L173" s="4" t="s">
        <v>587</v>
      </c>
      <c r="M173" s="4" t="s">
        <v>29</v>
      </c>
      <c r="N173" s="4" t="s">
        <v>30</v>
      </c>
      <c r="O173" s="142" t="s">
        <v>95</v>
      </c>
      <c r="P173" s="142" t="s">
        <v>905</v>
      </c>
      <c r="Q173" s="3"/>
      <c r="R173" s="143">
        <v>45468</v>
      </c>
      <c r="S173" s="4" t="s">
        <v>69</v>
      </c>
      <c r="T173" s="4" t="s">
        <v>622</v>
      </c>
    </row>
    <row r="174" spans="2:20" x14ac:dyDescent="0.25">
      <c r="B174" s="7">
        <v>137</v>
      </c>
      <c r="C174" s="7" t="s">
        <v>21</v>
      </c>
      <c r="D174" s="8" t="s">
        <v>571</v>
      </c>
      <c r="E174" s="8">
        <v>3</v>
      </c>
      <c r="F174" s="7" t="s">
        <v>229</v>
      </c>
      <c r="G174" s="10" t="s">
        <v>572</v>
      </c>
      <c r="H174" s="13" t="s">
        <v>623</v>
      </c>
      <c r="I174" s="45">
        <v>676</v>
      </c>
      <c r="J174" s="13" t="s">
        <v>624</v>
      </c>
      <c r="K174" s="8" t="s">
        <v>58</v>
      </c>
      <c r="L174" s="8" t="s">
        <v>587</v>
      </c>
      <c r="M174" s="8" t="s">
        <v>29</v>
      </c>
      <c r="N174" s="8" t="s">
        <v>30</v>
      </c>
      <c r="O174" s="8" t="s">
        <v>228</v>
      </c>
      <c r="P174" s="8" t="s">
        <v>625</v>
      </c>
      <c r="Q174" s="7"/>
      <c r="R174" s="12">
        <v>45484</v>
      </c>
      <c r="S174" s="8" t="s">
        <v>69</v>
      </c>
      <c r="T174" s="7" t="s">
        <v>622</v>
      </c>
    </row>
    <row r="175" spans="2:20" x14ac:dyDescent="0.25">
      <c r="B175" s="3">
        <v>138</v>
      </c>
      <c r="C175" s="3" t="s">
        <v>21</v>
      </c>
      <c r="D175" s="4" t="s">
        <v>571</v>
      </c>
      <c r="E175" s="4">
        <v>3</v>
      </c>
      <c r="F175" s="3" t="s">
        <v>229</v>
      </c>
      <c r="G175" s="6" t="s">
        <v>572</v>
      </c>
      <c r="H175" s="14" t="s">
        <v>626</v>
      </c>
      <c r="I175" s="46">
        <v>905</v>
      </c>
      <c r="J175" s="14" t="s">
        <v>624</v>
      </c>
      <c r="K175" s="4" t="s">
        <v>58</v>
      </c>
      <c r="L175" s="4" t="s">
        <v>587</v>
      </c>
      <c r="M175" s="4" t="s">
        <v>29</v>
      </c>
      <c r="N175" s="4" t="s">
        <v>30</v>
      </c>
      <c r="O175" s="4" t="s">
        <v>228</v>
      </c>
      <c r="P175" s="4" t="s">
        <v>627</v>
      </c>
      <c r="Q175" s="3"/>
      <c r="R175" s="11">
        <v>45503</v>
      </c>
      <c r="S175" s="4" t="s">
        <v>69</v>
      </c>
      <c r="T175" s="4" t="s">
        <v>622</v>
      </c>
    </row>
    <row r="176" spans="2:20" x14ac:dyDescent="0.25">
      <c r="B176" s="7">
        <v>139</v>
      </c>
      <c r="C176" s="7" t="s">
        <v>21</v>
      </c>
      <c r="D176" s="8" t="s">
        <v>571</v>
      </c>
      <c r="E176" s="8">
        <v>3</v>
      </c>
      <c r="F176" s="7" t="s">
        <v>229</v>
      </c>
      <c r="G176" s="10" t="s">
        <v>572</v>
      </c>
      <c r="H176" s="13" t="s">
        <v>628</v>
      </c>
      <c r="I176" s="45">
        <v>302</v>
      </c>
      <c r="J176" s="13" t="s">
        <v>629</v>
      </c>
      <c r="K176" s="8" t="s">
        <v>58</v>
      </c>
      <c r="L176" s="8" t="s">
        <v>587</v>
      </c>
      <c r="M176" s="8" t="s">
        <v>29</v>
      </c>
      <c r="N176" s="8" t="s">
        <v>30</v>
      </c>
      <c r="O176" s="8" t="s">
        <v>228</v>
      </c>
      <c r="P176" s="8" t="s">
        <v>630</v>
      </c>
      <c r="Q176" s="7"/>
      <c r="R176" s="12">
        <v>45465</v>
      </c>
      <c r="S176" s="8" t="s">
        <v>69</v>
      </c>
      <c r="T176" s="7" t="s">
        <v>622</v>
      </c>
    </row>
    <row r="177" spans="2:20" x14ac:dyDescent="0.25">
      <c r="B177" s="3">
        <v>140</v>
      </c>
      <c r="C177" s="3" t="s">
        <v>21</v>
      </c>
      <c r="D177" s="4" t="s">
        <v>571</v>
      </c>
      <c r="E177" s="4">
        <v>3</v>
      </c>
      <c r="F177" s="3" t="s">
        <v>535</v>
      </c>
      <c r="G177" s="6" t="s">
        <v>572</v>
      </c>
      <c r="H177" s="14" t="s">
        <v>631</v>
      </c>
      <c r="I177" s="46">
        <f>100+50</f>
        <v>150</v>
      </c>
      <c r="J177" s="14" t="s">
        <v>632</v>
      </c>
      <c r="K177" s="4" t="s">
        <v>58</v>
      </c>
      <c r="L177" s="4" t="s">
        <v>587</v>
      </c>
      <c r="M177" s="4" t="s">
        <v>29</v>
      </c>
      <c r="N177" s="4" t="s">
        <v>30</v>
      </c>
      <c r="O177" s="4" t="s">
        <v>228</v>
      </c>
      <c r="P177" s="4" t="s">
        <v>633</v>
      </c>
      <c r="Q177" s="3"/>
      <c r="R177" s="11">
        <v>45560</v>
      </c>
      <c r="S177" s="4" t="s">
        <v>69</v>
      </c>
      <c r="T177" s="4" t="s">
        <v>634</v>
      </c>
    </row>
    <row r="178" spans="2:20" x14ac:dyDescent="0.25">
      <c r="B178" s="7">
        <v>141.1</v>
      </c>
      <c r="C178" s="7" t="s">
        <v>21</v>
      </c>
      <c r="D178" s="8" t="s">
        <v>571</v>
      </c>
      <c r="E178" s="8">
        <v>3</v>
      </c>
      <c r="F178" s="7" t="s">
        <v>229</v>
      </c>
      <c r="G178" s="10" t="s">
        <v>572</v>
      </c>
      <c r="H178" s="13" t="s">
        <v>635</v>
      </c>
      <c r="I178" s="45">
        <v>437</v>
      </c>
      <c r="J178" s="13" t="s">
        <v>636</v>
      </c>
      <c r="K178" s="8" t="s">
        <v>58</v>
      </c>
      <c r="L178" s="8" t="s">
        <v>587</v>
      </c>
      <c r="M178" s="8" t="s">
        <v>29</v>
      </c>
      <c r="N178" s="8" t="s">
        <v>30</v>
      </c>
      <c r="O178" s="8" t="s">
        <v>160</v>
      </c>
      <c r="P178" s="8" t="s">
        <v>637</v>
      </c>
      <c r="Q178" s="7"/>
      <c r="R178" s="12" t="s">
        <v>638</v>
      </c>
      <c r="S178" s="8" t="s">
        <v>69</v>
      </c>
      <c r="T178" s="7" t="s">
        <v>634</v>
      </c>
    </row>
    <row r="179" spans="2:20" x14ac:dyDescent="0.25">
      <c r="B179" s="3">
        <v>141.19999999999999</v>
      </c>
      <c r="C179" s="3" t="s">
        <v>21</v>
      </c>
      <c r="D179" s="4" t="s">
        <v>571</v>
      </c>
      <c r="E179" s="4">
        <v>3</v>
      </c>
      <c r="F179" s="3" t="s">
        <v>229</v>
      </c>
      <c r="G179" s="6" t="s">
        <v>572</v>
      </c>
      <c r="H179" s="14" t="s">
        <v>639</v>
      </c>
      <c r="I179" s="46">
        <v>9443</v>
      </c>
      <c r="J179" s="14" t="s">
        <v>636</v>
      </c>
      <c r="K179" s="4" t="s">
        <v>58</v>
      </c>
      <c r="L179" s="4" t="s">
        <v>587</v>
      </c>
      <c r="M179" s="4" t="s">
        <v>29</v>
      </c>
      <c r="N179" s="4" t="s">
        <v>30</v>
      </c>
      <c r="O179" s="4" t="s">
        <v>160</v>
      </c>
      <c r="P179" s="4" t="s">
        <v>640</v>
      </c>
      <c r="Q179" s="3" t="s">
        <v>818</v>
      </c>
      <c r="R179" s="11" t="s">
        <v>641</v>
      </c>
      <c r="S179" s="4" t="s">
        <v>69</v>
      </c>
      <c r="T179" s="4" t="s">
        <v>634</v>
      </c>
    </row>
    <row r="180" spans="2:20" x14ac:dyDescent="0.25">
      <c r="B180" s="7">
        <v>142</v>
      </c>
      <c r="C180" s="7" t="s">
        <v>21</v>
      </c>
      <c r="D180" s="8" t="s">
        <v>571</v>
      </c>
      <c r="E180" s="8">
        <v>3</v>
      </c>
      <c r="F180" s="7" t="s">
        <v>356</v>
      </c>
      <c r="G180" s="10" t="s">
        <v>572</v>
      </c>
      <c r="H180" s="13" t="s">
        <v>642</v>
      </c>
      <c r="I180" s="45">
        <f>5200+6800</f>
        <v>12000</v>
      </c>
      <c r="J180" s="13" t="s">
        <v>643</v>
      </c>
      <c r="K180" s="8" t="s">
        <v>58</v>
      </c>
      <c r="L180" s="8" t="s">
        <v>587</v>
      </c>
      <c r="M180" s="8" t="s">
        <v>29</v>
      </c>
      <c r="N180" s="8" t="s">
        <v>30</v>
      </c>
      <c r="O180" s="8" t="s">
        <v>31</v>
      </c>
      <c r="P180" s="8" t="s">
        <v>644</v>
      </c>
      <c r="Q180" s="7" t="s">
        <v>645</v>
      </c>
      <c r="R180" s="12">
        <v>45500</v>
      </c>
      <c r="S180" s="8" t="s">
        <v>43</v>
      </c>
      <c r="T180" s="7" t="s">
        <v>646</v>
      </c>
    </row>
    <row r="181" spans="2:20" x14ac:dyDescent="0.25">
      <c r="B181" s="3">
        <v>143.1</v>
      </c>
      <c r="C181" s="3" t="s">
        <v>21</v>
      </c>
      <c r="D181" s="4" t="s">
        <v>571</v>
      </c>
      <c r="E181" s="4">
        <v>3</v>
      </c>
      <c r="F181" s="3" t="s">
        <v>229</v>
      </c>
      <c r="G181" s="6" t="s">
        <v>572</v>
      </c>
      <c r="H181" s="14" t="s">
        <v>647</v>
      </c>
      <c r="I181" s="46">
        <v>545</v>
      </c>
      <c r="J181" s="14" t="s">
        <v>648</v>
      </c>
      <c r="K181" s="4" t="s">
        <v>58</v>
      </c>
      <c r="L181" s="4" t="s">
        <v>40</v>
      </c>
      <c r="M181" s="4" t="s">
        <v>29</v>
      </c>
      <c r="N181" s="4" t="s">
        <v>30</v>
      </c>
      <c r="O181" s="4" t="s">
        <v>31</v>
      </c>
      <c r="P181" s="4" t="s">
        <v>649</v>
      </c>
      <c r="Q181" s="3"/>
      <c r="R181" s="11">
        <v>45378</v>
      </c>
      <c r="S181" s="4" t="s">
        <v>34</v>
      </c>
      <c r="T181" s="4" t="s">
        <v>650</v>
      </c>
    </row>
    <row r="182" spans="2:20" x14ac:dyDescent="0.25">
      <c r="B182" s="7">
        <v>143.19999999999999</v>
      </c>
      <c r="C182" s="7" t="s">
        <v>21</v>
      </c>
      <c r="D182" s="8" t="s">
        <v>571</v>
      </c>
      <c r="E182" s="8">
        <v>3</v>
      </c>
      <c r="F182" s="7" t="s">
        <v>229</v>
      </c>
      <c r="G182" s="10" t="s">
        <v>572</v>
      </c>
      <c r="H182" s="13" t="s">
        <v>651</v>
      </c>
      <c r="I182" s="45">
        <v>2300</v>
      </c>
      <c r="J182" s="13" t="s">
        <v>648</v>
      </c>
      <c r="K182" s="8" t="s">
        <v>58</v>
      </c>
      <c r="L182" s="8" t="s">
        <v>40</v>
      </c>
      <c r="M182" s="8" t="s">
        <v>29</v>
      </c>
      <c r="N182" s="8" t="s">
        <v>30</v>
      </c>
      <c r="O182" s="8" t="s">
        <v>31</v>
      </c>
      <c r="P182" s="8" t="s">
        <v>652</v>
      </c>
      <c r="Q182" s="7"/>
      <c r="R182" s="12">
        <v>45378</v>
      </c>
      <c r="S182" s="8" t="s">
        <v>34</v>
      </c>
      <c r="T182" s="7" t="s">
        <v>650</v>
      </c>
    </row>
    <row r="183" spans="2:20" x14ac:dyDescent="0.25">
      <c r="B183" s="3">
        <v>144</v>
      </c>
      <c r="C183" s="3" t="s">
        <v>21</v>
      </c>
      <c r="D183" s="4" t="s">
        <v>571</v>
      </c>
      <c r="E183" s="4">
        <v>3</v>
      </c>
      <c r="F183" s="3" t="s">
        <v>356</v>
      </c>
      <c r="G183" s="6" t="s">
        <v>572</v>
      </c>
      <c r="H183" s="14" t="s">
        <v>653</v>
      </c>
      <c r="I183" s="46">
        <f>312+188</f>
        <v>500</v>
      </c>
      <c r="J183" s="14" t="s">
        <v>654</v>
      </c>
      <c r="K183" s="4" t="s">
        <v>58</v>
      </c>
      <c r="L183" s="4" t="s">
        <v>587</v>
      </c>
      <c r="M183" s="4" t="s">
        <v>29</v>
      </c>
      <c r="N183" s="4" t="s">
        <v>30</v>
      </c>
      <c r="O183" s="4" t="s">
        <v>228</v>
      </c>
      <c r="P183" s="4" t="s">
        <v>655</v>
      </c>
      <c r="Q183" s="3"/>
      <c r="R183" s="11">
        <v>45526</v>
      </c>
      <c r="S183" s="4" t="s">
        <v>34</v>
      </c>
      <c r="T183" s="4" t="s">
        <v>656</v>
      </c>
    </row>
    <row r="184" spans="2:20" x14ac:dyDescent="0.25">
      <c r="B184" s="7">
        <v>145</v>
      </c>
      <c r="C184" s="7" t="s">
        <v>21</v>
      </c>
      <c r="D184" s="8" t="s">
        <v>571</v>
      </c>
      <c r="E184" s="8">
        <v>3</v>
      </c>
      <c r="F184" s="7" t="s">
        <v>540</v>
      </c>
      <c r="G184" s="10" t="s">
        <v>572</v>
      </c>
      <c r="H184" s="13" t="s">
        <v>657</v>
      </c>
      <c r="I184" s="45">
        <f>21518-21000</f>
        <v>518</v>
      </c>
      <c r="J184" s="13" t="s">
        <v>658</v>
      </c>
      <c r="K184" s="8" t="s">
        <v>58</v>
      </c>
      <c r="L184" s="8" t="s">
        <v>40</v>
      </c>
      <c r="M184" s="8" t="s">
        <v>29</v>
      </c>
      <c r="N184" s="8" t="s">
        <v>30</v>
      </c>
      <c r="O184" s="8" t="s">
        <v>95</v>
      </c>
      <c r="P184" s="8" t="s">
        <v>659</v>
      </c>
      <c r="Q184" s="7"/>
      <c r="R184" s="12">
        <v>45657</v>
      </c>
      <c r="S184" s="8" t="s">
        <v>34</v>
      </c>
      <c r="T184" s="7" t="s">
        <v>650</v>
      </c>
    </row>
    <row r="185" spans="2:20" x14ac:dyDescent="0.25">
      <c r="B185" s="3">
        <v>146</v>
      </c>
      <c r="C185" s="3" t="s">
        <v>21</v>
      </c>
      <c r="D185" s="4" t="s">
        <v>571</v>
      </c>
      <c r="E185" s="4">
        <v>3</v>
      </c>
      <c r="F185" s="3" t="s">
        <v>535</v>
      </c>
      <c r="G185" s="6" t="s">
        <v>572</v>
      </c>
      <c r="H185" s="14" t="s">
        <v>660</v>
      </c>
      <c r="I185" s="46">
        <v>52000</v>
      </c>
      <c r="J185" s="14" t="s">
        <v>661</v>
      </c>
      <c r="K185" s="4" t="s">
        <v>58</v>
      </c>
      <c r="L185" s="4" t="s">
        <v>587</v>
      </c>
      <c r="M185" s="4" t="s">
        <v>29</v>
      </c>
      <c r="N185" s="4" t="s">
        <v>30</v>
      </c>
      <c r="O185" s="4" t="s">
        <v>58</v>
      </c>
      <c r="P185" s="4" t="s">
        <v>662</v>
      </c>
      <c r="Q185" s="3" t="s">
        <v>663</v>
      </c>
      <c r="R185" s="11">
        <v>46023</v>
      </c>
      <c r="S185" s="4" t="s">
        <v>69</v>
      </c>
      <c r="T185" s="4" t="s">
        <v>317</v>
      </c>
    </row>
    <row r="186" spans="2:20" x14ac:dyDescent="0.25">
      <c r="B186" s="7">
        <v>147.1</v>
      </c>
      <c r="C186" s="7" t="s">
        <v>21</v>
      </c>
      <c r="D186" s="8" t="s">
        <v>571</v>
      </c>
      <c r="E186" s="8">
        <v>4</v>
      </c>
      <c r="F186" s="7" t="s">
        <v>664</v>
      </c>
      <c r="G186" s="10" t="s">
        <v>572</v>
      </c>
      <c r="H186" s="13" t="s">
        <v>665</v>
      </c>
      <c r="I186" s="45">
        <f>28062-18</f>
        <v>28044</v>
      </c>
      <c r="J186" s="13" t="s">
        <v>666</v>
      </c>
      <c r="K186" s="8" t="s">
        <v>58</v>
      </c>
      <c r="L186" s="8" t="s">
        <v>40</v>
      </c>
      <c r="M186" s="8" t="s">
        <v>29</v>
      </c>
      <c r="N186" s="8" t="s">
        <v>29</v>
      </c>
      <c r="O186" s="8" t="s">
        <v>58</v>
      </c>
      <c r="P186" s="8" t="s">
        <v>58</v>
      </c>
      <c r="Q186" s="7" t="s">
        <v>58</v>
      </c>
      <c r="R186" s="12">
        <v>46288</v>
      </c>
      <c r="S186" s="8" t="s">
        <v>69</v>
      </c>
      <c r="T186" s="7" t="s">
        <v>667</v>
      </c>
    </row>
    <row r="187" spans="2:20" x14ac:dyDescent="0.25">
      <c r="B187" s="3">
        <v>147.19999999999999</v>
      </c>
      <c r="C187" s="3" t="s">
        <v>21</v>
      </c>
      <c r="D187" s="4" t="s">
        <v>571</v>
      </c>
      <c r="E187" s="4">
        <v>4</v>
      </c>
      <c r="F187" s="3" t="s">
        <v>664</v>
      </c>
      <c r="G187" s="6" t="s">
        <v>572</v>
      </c>
      <c r="H187" s="14" t="s">
        <v>668</v>
      </c>
      <c r="I187" s="46">
        <v>7938</v>
      </c>
      <c r="J187" s="14" t="s">
        <v>666</v>
      </c>
      <c r="K187" s="4" t="s">
        <v>58</v>
      </c>
      <c r="L187" s="4" t="s">
        <v>40</v>
      </c>
      <c r="M187" s="4" t="s">
        <v>30</v>
      </c>
      <c r="N187" s="4" t="s">
        <v>29</v>
      </c>
      <c r="O187" s="4" t="s">
        <v>160</v>
      </c>
      <c r="P187" s="4" t="s">
        <v>669</v>
      </c>
      <c r="Q187" s="3" t="s">
        <v>58</v>
      </c>
      <c r="R187" s="11">
        <v>45473</v>
      </c>
      <c r="S187" s="4" t="s">
        <v>69</v>
      </c>
      <c r="T187" s="4" t="s">
        <v>794</v>
      </c>
    </row>
    <row r="188" spans="2:20" x14ac:dyDescent="0.25">
      <c r="B188" s="32">
        <v>148</v>
      </c>
      <c r="C188" s="32" t="s">
        <v>21</v>
      </c>
      <c r="D188" s="33" t="s">
        <v>324</v>
      </c>
      <c r="E188" s="33">
        <v>3</v>
      </c>
      <c r="F188" s="32" t="s">
        <v>356</v>
      </c>
      <c r="G188" s="34" t="s">
        <v>326</v>
      </c>
      <c r="H188" s="35" t="s">
        <v>671</v>
      </c>
      <c r="I188" s="144">
        <f>111680</f>
        <v>111680</v>
      </c>
      <c r="J188" s="35" t="s">
        <v>672</v>
      </c>
      <c r="K188" s="33" t="s">
        <v>58</v>
      </c>
      <c r="L188" s="33" t="s">
        <v>28</v>
      </c>
      <c r="M188" s="33" t="s">
        <v>30</v>
      </c>
      <c r="N188" s="33" t="s">
        <v>29</v>
      </c>
      <c r="O188" s="33" t="s">
        <v>95</v>
      </c>
      <c r="P188" s="33" t="s">
        <v>673</v>
      </c>
      <c r="Q188" s="119" t="s">
        <v>909</v>
      </c>
      <c r="R188" s="37">
        <v>45453</v>
      </c>
      <c r="S188" s="33" t="s">
        <v>34</v>
      </c>
      <c r="T188" s="33" t="s">
        <v>674</v>
      </c>
    </row>
    <row r="189" spans="2:20" x14ac:dyDescent="0.25">
      <c r="B189" s="38">
        <v>149</v>
      </c>
      <c r="C189" s="38" t="s">
        <v>21</v>
      </c>
      <c r="D189" s="39" t="s">
        <v>324</v>
      </c>
      <c r="E189" s="39">
        <v>4</v>
      </c>
      <c r="F189" s="38" t="s">
        <v>675</v>
      </c>
      <c r="G189" s="40" t="s">
        <v>326</v>
      </c>
      <c r="H189" s="41" t="s">
        <v>676</v>
      </c>
      <c r="I189" s="104">
        <f>1025069.4</f>
        <v>1025069.4</v>
      </c>
      <c r="J189" s="41" t="s">
        <v>677</v>
      </c>
      <c r="K189" s="39" t="s">
        <v>58</v>
      </c>
      <c r="L189" s="39" t="s">
        <v>28</v>
      </c>
      <c r="M189" s="39" t="s">
        <v>29</v>
      </c>
      <c r="N189" s="39" t="s">
        <v>29</v>
      </c>
      <c r="O189" s="39" t="s">
        <v>95</v>
      </c>
      <c r="P189" s="39" t="s">
        <v>678</v>
      </c>
      <c r="Q189" s="39" t="s">
        <v>817</v>
      </c>
      <c r="R189" s="43">
        <v>45646</v>
      </c>
      <c r="S189" s="39" t="s">
        <v>69</v>
      </c>
      <c r="T189" s="39" t="s">
        <v>370</v>
      </c>
    </row>
    <row r="190" spans="2:20" x14ac:dyDescent="0.25">
      <c r="B190" s="7">
        <v>150</v>
      </c>
      <c r="C190" s="7" t="s">
        <v>21</v>
      </c>
      <c r="D190" s="8" t="s">
        <v>22</v>
      </c>
      <c r="E190" s="8">
        <v>3</v>
      </c>
      <c r="F190" s="7"/>
      <c r="G190" s="10" t="s">
        <v>24</v>
      </c>
      <c r="H190" s="13" t="s">
        <v>679</v>
      </c>
      <c r="I190" s="45">
        <v>10000</v>
      </c>
      <c r="J190" s="13" t="s">
        <v>680</v>
      </c>
      <c r="K190" s="8" t="s">
        <v>925</v>
      </c>
      <c r="L190" s="8" t="s">
        <v>681</v>
      </c>
      <c r="M190" s="8" t="s">
        <v>30</v>
      </c>
      <c r="N190" s="8" t="s">
        <v>29</v>
      </c>
      <c r="O190" s="8" t="s">
        <v>160</v>
      </c>
      <c r="P190" s="8" t="s">
        <v>682</v>
      </c>
      <c r="Q190" s="7"/>
      <c r="R190" s="12">
        <v>45322</v>
      </c>
      <c r="S190" s="8" t="s">
        <v>34</v>
      </c>
      <c r="T190" s="7" t="s">
        <v>683</v>
      </c>
    </row>
    <row r="191" spans="2:20" x14ac:dyDescent="0.25">
      <c r="B191" s="3">
        <v>151</v>
      </c>
      <c r="C191" s="3" t="s">
        <v>21</v>
      </c>
      <c r="D191" s="4" t="s">
        <v>22</v>
      </c>
      <c r="E191" s="4">
        <v>3</v>
      </c>
      <c r="F191" s="3" t="s">
        <v>876</v>
      </c>
      <c r="G191" s="6" t="s">
        <v>24</v>
      </c>
      <c r="H191" s="14" t="s">
        <v>684</v>
      </c>
      <c r="I191" s="123">
        <f>150000+150396+72004-175000</f>
        <v>197400</v>
      </c>
      <c r="J191" s="14" t="s">
        <v>685</v>
      </c>
      <c r="K191" s="4" t="s">
        <v>921</v>
      </c>
      <c r="L191" s="4" t="s">
        <v>40</v>
      </c>
      <c r="M191" s="4" t="s">
        <v>30</v>
      </c>
      <c r="N191" s="4" t="s">
        <v>29</v>
      </c>
      <c r="O191" s="4" t="s">
        <v>95</v>
      </c>
      <c r="P191" s="4" t="s">
        <v>686</v>
      </c>
      <c r="Q191" s="3"/>
      <c r="R191" s="11">
        <v>45323</v>
      </c>
      <c r="S191" s="4" t="s">
        <v>34</v>
      </c>
      <c r="T191" s="4" t="s">
        <v>825</v>
      </c>
    </row>
    <row r="192" spans="2:20" x14ac:dyDescent="0.25">
      <c r="B192" s="7">
        <v>152</v>
      </c>
      <c r="C192" s="7" t="s">
        <v>21</v>
      </c>
      <c r="D192" s="8" t="s">
        <v>22</v>
      </c>
      <c r="E192" s="8">
        <v>3</v>
      </c>
      <c r="F192" s="7" t="s">
        <v>877</v>
      </c>
      <c r="G192" s="10" t="s">
        <v>24</v>
      </c>
      <c r="H192" s="13" t="s">
        <v>687</v>
      </c>
      <c r="I192" s="45">
        <f>3248.8+702.91+889</f>
        <v>4840.71</v>
      </c>
      <c r="J192" s="13" t="s">
        <v>688</v>
      </c>
      <c r="K192" s="8" t="s">
        <v>927</v>
      </c>
      <c r="L192" s="8" t="s">
        <v>40</v>
      </c>
      <c r="M192" s="8" t="s">
        <v>30</v>
      </c>
      <c r="N192" s="8" t="s">
        <v>29</v>
      </c>
      <c r="O192" s="8" t="s">
        <v>160</v>
      </c>
      <c r="P192" s="8" t="s">
        <v>689</v>
      </c>
      <c r="Q192" s="7" t="s">
        <v>871</v>
      </c>
      <c r="R192" s="12">
        <v>45322</v>
      </c>
      <c r="S192" s="8" t="s">
        <v>34</v>
      </c>
      <c r="T192" s="7" t="s">
        <v>814</v>
      </c>
    </row>
    <row r="193" spans="2:20" x14ac:dyDescent="0.25">
      <c r="B193" s="135">
        <v>153</v>
      </c>
      <c r="C193" s="135" t="s">
        <v>21</v>
      </c>
      <c r="D193" s="136" t="s">
        <v>690</v>
      </c>
      <c r="E193" s="136">
        <v>3</v>
      </c>
      <c r="F193" s="135" t="s">
        <v>691</v>
      </c>
      <c r="G193" s="137" t="s">
        <v>326</v>
      </c>
      <c r="H193" s="138" t="s">
        <v>692</v>
      </c>
      <c r="I193" s="139">
        <v>223229.1</v>
      </c>
      <c r="J193" s="138" t="s">
        <v>693</v>
      </c>
      <c r="K193" s="136" t="s">
        <v>58</v>
      </c>
      <c r="L193" s="136" t="s">
        <v>681</v>
      </c>
      <c r="M193" s="136" t="s">
        <v>29</v>
      </c>
      <c r="N193" s="136" t="s">
        <v>30</v>
      </c>
      <c r="O193" s="136" t="s">
        <v>58</v>
      </c>
      <c r="P193" s="136" t="s">
        <v>694</v>
      </c>
      <c r="Q193" s="135"/>
      <c r="R193" s="140" t="s">
        <v>58</v>
      </c>
      <c r="S193" s="136" t="s">
        <v>58</v>
      </c>
      <c r="T193" s="136"/>
    </row>
    <row r="194" spans="2:20" x14ac:dyDescent="0.25">
      <c r="B194" s="7">
        <v>154</v>
      </c>
      <c r="C194" s="7" t="s">
        <v>21</v>
      </c>
      <c r="D194" s="8" t="s">
        <v>22</v>
      </c>
      <c r="E194" s="8">
        <v>3</v>
      </c>
      <c r="F194" s="7" t="s">
        <v>695</v>
      </c>
      <c r="G194" s="10" t="s">
        <v>24</v>
      </c>
      <c r="H194" s="13" t="s">
        <v>696</v>
      </c>
      <c r="I194" s="45">
        <v>12000</v>
      </c>
      <c r="J194" s="13" t="s">
        <v>697</v>
      </c>
      <c r="K194" s="8" t="s">
        <v>921</v>
      </c>
      <c r="L194" s="8" t="s">
        <v>40</v>
      </c>
      <c r="M194" s="8" t="s">
        <v>29</v>
      </c>
      <c r="N194" s="8" t="s">
        <v>30</v>
      </c>
      <c r="O194" s="8" t="s">
        <v>160</v>
      </c>
      <c r="P194" s="8" t="s">
        <v>698</v>
      </c>
      <c r="Q194" s="7" t="s">
        <v>815</v>
      </c>
      <c r="R194" s="12">
        <v>45322</v>
      </c>
      <c r="S194" s="8" t="s">
        <v>34</v>
      </c>
      <c r="T194" s="7" t="s">
        <v>826</v>
      </c>
    </row>
    <row r="195" spans="2:20" x14ac:dyDescent="0.25">
      <c r="B195" s="38">
        <v>155</v>
      </c>
      <c r="C195" s="38" t="s">
        <v>21</v>
      </c>
      <c r="D195" s="39" t="s">
        <v>324</v>
      </c>
      <c r="E195" s="39">
        <v>3</v>
      </c>
      <c r="F195" s="38" t="s">
        <v>387</v>
      </c>
      <c r="G195" s="40" t="s">
        <v>326</v>
      </c>
      <c r="H195" s="41" t="s">
        <v>700</v>
      </c>
      <c r="I195" s="42">
        <v>22266.86</v>
      </c>
      <c r="J195" s="41" t="s">
        <v>451</v>
      </c>
      <c r="K195" s="39" t="s">
        <v>58</v>
      </c>
      <c r="L195" s="39" t="s">
        <v>40</v>
      </c>
      <c r="M195" s="39" t="s">
        <v>29</v>
      </c>
      <c r="N195" s="39" t="s">
        <v>30</v>
      </c>
      <c r="O195" s="39" t="s">
        <v>49</v>
      </c>
      <c r="P195" s="39" t="s">
        <v>701</v>
      </c>
      <c r="Q195" s="39" t="s">
        <v>702</v>
      </c>
      <c r="R195" s="43">
        <v>44896</v>
      </c>
      <c r="S195" s="39" t="s">
        <v>34</v>
      </c>
      <c r="T195" s="39" t="s">
        <v>452</v>
      </c>
    </row>
    <row r="196" spans="2:20" x14ac:dyDescent="0.25">
      <c r="B196" s="32">
        <v>156</v>
      </c>
      <c r="C196" s="32" t="s">
        <v>21</v>
      </c>
      <c r="D196" s="33" t="s">
        <v>324</v>
      </c>
      <c r="E196" s="33">
        <v>3</v>
      </c>
      <c r="F196" s="32" t="s">
        <v>350</v>
      </c>
      <c r="G196" s="34" t="s">
        <v>326</v>
      </c>
      <c r="H196" s="35" t="s">
        <v>703</v>
      </c>
      <c r="I196" s="36">
        <v>81333.33</v>
      </c>
      <c r="J196" s="35" t="s">
        <v>425</v>
      </c>
      <c r="K196" s="33" t="s">
        <v>58</v>
      </c>
      <c r="L196" s="33" t="s">
        <v>28</v>
      </c>
      <c r="M196" s="33" t="s">
        <v>29</v>
      </c>
      <c r="N196" s="33" t="s">
        <v>30</v>
      </c>
      <c r="O196" s="33" t="s">
        <v>49</v>
      </c>
      <c r="P196" s="33" t="s">
        <v>704</v>
      </c>
      <c r="Q196" s="32" t="s">
        <v>705</v>
      </c>
      <c r="R196" s="37">
        <v>44915</v>
      </c>
      <c r="S196" s="33" t="s">
        <v>69</v>
      </c>
      <c r="T196" s="33" t="s">
        <v>370</v>
      </c>
    </row>
    <row r="197" spans="2:20" x14ac:dyDescent="0.25">
      <c r="B197" s="38">
        <v>157</v>
      </c>
      <c r="C197" s="38" t="s">
        <v>21</v>
      </c>
      <c r="D197" s="39" t="s">
        <v>324</v>
      </c>
      <c r="E197" s="39">
        <v>3</v>
      </c>
      <c r="F197" s="38" t="s">
        <v>350</v>
      </c>
      <c r="G197" s="40" t="s">
        <v>326</v>
      </c>
      <c r="H197" s="41" t="s">
        <v>706</v>
      </c>
      <c r="I197" s="126">
        <f>31309.84+6145.52</f>
        <v>37455.360000000001</v>
      </c>
      <c r="J197" s="41" t="s">
        <v>707</v>
      </c>
      <c r="K197" s="39" t="s">
        <v>58</v>
      </c>
      <c r="L197" s="39" t="s">
        <v>681</v>
      </c>
      <c r="M197" s="39" t="s">
        <v>29</v>
      </c>
      <c r="N197" s="39" t="s">
        <v>30</v>
      </c>
      <c r="O197" s="39" t="s">
        <v>49</v>
      </c>
      <c r="P197" s="39" t="s">
        <v>708</v>
      </c>
      <c r="Q197" s="39" t="s">
        <v>709</v>
      </c>
      <c r="R197" s="43" t="s">
        <v>58</v>
      </c>
      <c r="S197" s="39" t="s">
        <v>34</v>
      </c>
      <c r="T197" s="39" t="s">
        <v>344</v>
      </c>
    </row>
    <row r="198" spans="2:20" x14ac:dyDescent="0.25">
      <c r="B198" s="32">
        <v>158</v>
      </c>
      <c r="C198" s="32" t="s">
        <v>21</v>
      </c>
      <c r="D198" s="33" t="s">
        <v>482</v>
      </c>
      <c r="E198" s="33">
        <v>3</v>
      </c>
      <c r="F198" s="32" t="s">
        <v>325</v>
      </c>
      <c r="G198" s="34" t="s">
        <v>326</v>
      </c>
      <c r="H198" s="35" t="s">
        <v>710</v>
      </c>
      <c r="I198" s="36">
        <f>1251807.87</f>
        <v>1251807.8700000001</v>
      </c>
      <c r="J198" s="35" t="s">
        <v>484</v>
      </c>
      <c r="K198" s="33" t="s">
        <v>58</v>
      </c>
      <c r="L198" s="33" t="s">
        <v>329</v>
      </c>
      <c r="M198" s="33" t="s">
        <v>29</v>
      </c>
      <c r="N198" s="33" t="s">
        <v>30</v>
      </c>
      <c r="O198" s="33" t="s">
        <v>49</v>
      </c>
      <c r="P198" s="33" t="s">
        <v>711</v>
      </c>
      <c r="Q198" s="32" t="s">
        <v>712</v>
      </c>
      <c r="R198" s="37" t="s">
        <v>58</v>
      </c>
      <c r="S198" s="33" t="s">
        <v>43</v>
      </c>
      <c r="T198" s="33" t="s">
        <v>485</v>
      </c>
    </row>
    <row r="199" spans="2:20" x14ac:dyDescent="0.25">
      <c r="B199" s="119">
        <v>159.1</v>
      </c>
      <c r="C199" s="3" t="s">
        <v>21</v>
      </c>
      <c r="D199" s="4" t="s">
        <v>22</v>
      </c>
      <c r="E199" s="4">
        <v>3</v>
      </c>
      <c r="F199" s="3" t="s">
        <v>876</v>
      </c>
      <c r="G199" s="6" t="s">
        <v>24</v>
      </c>
      <c r="H199" s="14" t="s">
        <v>713</v>
      </c>
      <c r="I199" s="121">
        <f>250000-200000</f>
        <v>50000</v>
      </c>
      <c r="J199" s="14" t="s">
        <v>714</v>
      </c>
      <c r="K199" s="4" t="s">
        <v>921</v>
      </c>
      <c r="L199" s="4" t="s">
        <v>40</v>
      </c>
      <c r="M199" s="4" t="s">
        <v>30</v>
      </c>
      <c r="N199" s="4" t="s">
        <v>29</v>
      </c>
      <c r="O199" s="4" t="s">
        <v>95</v>
      </c>
      <c r="P199" s="4" t="s">
        <v>715</v>
      </c>
      <c r="Q199" s="3"/>
      <c r="R199" s="11">
        <v>45323</v>
      </c>
      <c r="S199" s="4" t="s">
        <v>34</v>
      </c>
      <c r="T199" s="4" t="s">
        <v>825</v>
      </c>
    </row>
    <row r="200" spans="2:20" x14ac:dyDescent="0.25">
      <c r="B200" s="120">
        <v>159.19999999999999</v>
      </c>
      <c r="C200" s="114" t="s">
        <v>21</v>
      </c>
      <c r="D200" s="115" t="s">
        <v>22</v>
      </c>
      <c r="E200" s="114">
        <v>3</v>
      </c>
      <c r="F200" s="114"/>
      <c r="G200" s="116" t="s">
        <v>24</v>
      </c>
      <c r="H200" s="117" t="s">
        <v>886</v>
      </c>
      <c r="I200" s="122">
        <f>200000+175000+9000</f>
        <v>384000</v>
      </c>
      <c r="J200" s="117" t="s">
        <v>714</v>
      </c>
      <c r="K200" s="115" t="s">
        <v>921</v>
      </c>
      <c r="L200" s="115" t="s">
        <v>40</v>
      </c>
      <c r="M200" s="115" t="s">
        <v>30</v>
      </c>
      <c r="N200" s="115" t="s">
        <v>29</v>
      </c>
      <c r="O200" s="115" t="s">
        <v>95</v>
      </c>
      <c r="P200" s="115" t="s">
        <v>887</v>
      </c>
      <c r="Q200" s="114"/>
      <c r="R200" s="118">
        <v>45474</v>
      </c>
      <c r="S200" s="115" t="s">
        <v>34</v>
      </c>
      <c r="T200" s="114" t="s">
        <v>825</v>
      </c>
    </row>
    <row r="201" spans="2:20" x14ac:dyDescent="0.25">
      <c r="B201" s="32">
        <v>160</v>
      </c>
      <c r="C201" s="32" t="s">
        <v>21</v>
      </c>
      <c r="D201" s="33" t="s">
        <v>324</v>
      </c>
      <c r="E201" s="33">
        <v>4</v>
      </c>
      <c r="F201" s="32"/>
      <c r="G201" s="34" t="s">
        <v>326</v>
      </c>
      <c r="H201" s="35" t="s">
        <v>716</v>
      </c>
      <c r="I201" s="36">
        <v>42200</v>
      </c>
      <c r="J201" s="35" t="s">
        <v>717</v>
      </c>
      <c r="K201" s="33" t="s">
        <v>58</v>
      </c>
      <c r="L201" s="33" t="s">
        <v>28</v>
      </c>
      <c r="M201" s="33" t="s">
        <v>30</v>
      </c>
      <c r="N201" s="33" t="s">
        <v>29</v>
      </c>
      <c r="O201" s="33" t="s">
        <v>160</v>
      </c>
      <c r="P201" s="33" t="s">
        <v>718</v>
      </c>
      <c r="Q201" s="32" t="s">
        <v>719</v>
      </c>
      <c r="R201" s="37">
        <v>45311</v>
      </c>
      <c r="S201" s="33" t="s">
        <v>34</v>
      </c>
      <c r="T201" s="33" t="s">
        <v>480</v>
      </c>
    </row>
    <row r="202" spans="2:20" x14ac:dyDescent="0.25">
      <c r="B202" s="3">
        <v>161</v>
      </c>
      <c r="C202" s="3" t="s">
        <v>21</v>
      </c>
      <c r="D202" s="4" t="s">
        <v>22</v>
      </c>
      <c r="E202" s="4">
        <v>3</v>
      </c>
      <c r="F202" s="3" t="s">
        <v>114</v>
      </c>
      <c r="G202" s="6" t="s">
        <v>24</v>
      </c>
      <c r="H202" s="14" t="s">
        <v>811</v>
      </c>
      <c r="I202" s="46">
        <f>23057.58+5526.804+7911.65+13408.766</f>
        <v>49904.800000000003</v>
      </c>
      <c r="J202" s="14" t="s">
        <v>688</v>
      </c>
      <c r="K202" s="4" t="s">
        <v>927</v>
      </c>
      <c r="L202" s="4" t="s">
        <v>40</v>
      </c>
      <c r="M202" s="4" t="s">
        <v>30</v>
      </c>
      <c r="N202" s="4" t="s">
        <v>29</v>
      </c>
      <c r="O202" s="4" t="s">
        <v>160</v>
      </c>
      <c r="P202" s="4" t="s">
        <v>812</v>
      </c>
      <c r="Q202" s="119" t="s">
        <v>931</v>
      </c>
      <c r="R202" s="11">
        <v>45382</v>
      </c>
      <c r="S202" s="4" t="s">
        <v>34</v>
      </c>
      <c r="T202" s="4" t="s">
        <v>813</v>
      </c>
    </row>
    <row r="203" spans="2:20" x14ac:dyDescent="0.25">
      <c r="B203" s="7">
        <v>162</v>
      </c>
      <c r="C203" s="7" t="s">
        <v>21</v>
      </c>
      <c r="D203" s="8" t="s">
        <v>22</v>
      </c>
      <c r="E203" s="8">
        <v>3</v>
      </c>
      <c r="F203" s="7" t="s">
        <v>819</v>
      </c>
      <c r="G203" s="10" t="s">
        <v>24</v>
      </c>
      <c r="H203" s="13" t="s">
        <v>820</v>
      </c>
      <c r="I203" s="45">
        <v>2515</v>
      </c>
      <c r="J203" s="13"/>
      <c r="K203" s="8" t="s">
        <v>930</v>
      </c>
      <c r="L203" s="8" t="s">
        <v>40</v>
      </c>
      <c r="M203" s="8" t="s">
        <v>30</v>
      </c>
      <c r="N203" s="8" t="s">
        <v>29</v>
      </c>
      <c r="O203" s="8" t="s">
        <v>49</v>
      </c>
      <c r="P203" s="8" t="s">
        <v>821</v>
      </c>
      <c r="Q203" s="7"/>
      <c r="R203" s="12"/>
      <c r="S203" s="8" t="s">
        <v>34</v>
      </c>
      <c r="T203" s="7" t="s">
        <v>822</v>
      </c>
    </row>
    <row r="204" spans="2:20" x14ac:dyDescent="0.25">
      <c r="B204" s="38">
        <v>163</v>
      </c>
      <c r="C204" s="38" t="s">
        <v>21</v>
      </c>
      <c r="D204" s="39" t="s">
        <v>324</v>
      </c>
      <c r="E204" s="39">
        <v>4</v>
      </c>
      <c r="F204" s="38"/>
      <c r="G204" s="40" t="s">
        <v>326</v>
      </c>
      <c r="H204" s="41" t="s">
        <v>828</v>
      </c>
      <c r="I204" s="42">
        <f>353956.75</f>
        <v>353956.75</v>
      </c>
      <c r="J204" s="41" t="s">
        <v>829</v>
      </c>
      <c r="K204" s="39" t="s">
        <v>58</v>
      </c>
      <c r="L204" s="39" t="s">
        <v>28</v>
      </c>
      <c r="M204" s="39" t="s">
        <v>30</v>
      </c>
      <c r="N204" s="39" t="s">
        <v>29</v>
      </c>
      <c r="O204" s="39" t="s">
        <v>160</v>
      </c>
      <c r="P204" s="39" t="s">
        <v>830</v>
      </c>
      <c r="Q204" s="39"/>
      <c r="R204" s="43">
        <v>45463</v>
      </c>
      <c r="S204" s="39" t="s">
        <v>34</v>
      </c>
      <c r="T204" s="39" t="s">
        <v>831</v>
      </c>
    </row>
    <row r="205" spans="2:20" x14ac:dyDescent="0.25">
      <c r="B205" s="7">
        <v>164</v>
      </c>
      <c r="C205" s="7" t="s">
        <v>21</v>
      </c>
      <c r="D205" s="8" t="s">
        <v>526</v>
      </c>
      <c r="E205" s="8">
        <v>3</v>
      </c>
      <c r="F205" s="7" t="s">
        <v>229</v>
      </c>
      <c r="G205" s="10" t="s">
        <v>527</v>
      </c>
      <c r="H205" s="13" t="s">
        <v>832</v>
      </c>
      <c r="I205" s="45">
        <v>30000</v>
      </c>
      <c r="J205" s="13" t="s">
        <v>833</v>
      </c>
      <c r="K205" s="8" t="s">
        <v>58</v>
      </c>
      <c r="L205" s="8" t="s">
        <v>530</v>
      </c>
      <c r="M205" s="8" t="s">
        <v>30</v>
      </c>
      <c r="N205" s="8" t="s">
        <v>29</v>
      </c>
      <c r="O205" s="8" t="s">
        <v>160</v>
      </c>
      <c r="P205" s="8" t="s">
        <v>883</v>
      </c>
      <c r="Q205" s="7"/>
      <c r="R205" s="12">
        <v>45474</v>
      </c>
      <c r="S205" s="8" t="s">
        <v>69</v>
      </c>
      <c r="T205" s="7" t="s">
        <v>531</v>
      </c>
    </row>
    <row r="206" spans="2:20" x14ac:dyDescent="0.25">
      <c r="B206" s="3">
        <v>165</v>
      </c>
      <c r="C206" s="3" t="s">
        <v>21</v>
      </c>
      <c r="D206" s="4" t="s">
        <v>526</v>
      </c>
      <c r="E206" s="4">
        <v>3</v>
      </c>
      <c r="F206" s="3" t="s">
        <v>540</v>
      </c>
      <c r="G206" s="6" t="s">
        <v>527</v>
      </c>
      <c r="H206" s="14" t="s">
        <v>834</v>
      </c>
      <c r="I206" s="46">
        <v>251801.56</v>
      </c>
      <c r="J206" s="14" t="s">
        <v>542</v>
      </c>
      <c r="K206" s="4" t="s">
        <v>58</v>
      </c>
      <c r="L206" s="4" t="s">
        <v>530</v>
      </c>
      <c r="M206" s="4" t="s">
        <v>29</v>
      </c>
      <c r="N206" s="4" t="s">
        <v>29</v>
      </c>
      <c r="O206" s="142" t="s">
        <v>95</v>
      </c>
      <c r="P206" s="142" t="s">
        <v>933</v>
      </c>
      <c r="Q206" s="3"/>
      <c r="R206" s="11" t="s">
        <v>58</v>
      </c>
      <c r="S206" s="4" t="s">
        <v>43</v>
      </c>
      <c r="T206" s="4" t="s">
        <v>545</v>
      </c>
    </row>
    <row r="207" spans="2:20" x14ac:dyDescent="0.25">
      <c r="B207" s="7">
        <v>166</v>
      </c>
      <c r="C207" s="7" t="s">
        <v>21</v>
      </c>
      <c r="D207" s="8" t="s">
        <v>22</v>
      </c>
      <c r="E207" s="8">
        <v>4</v>
      </c>
      <c r="F207" s="7" t="s">
        <v>878</v>
      </c>
      <c r="G207" s="10" t="s">
        <v>24</v>
      </c>
      <c r="H207" s="13" t="s">
        <v>837</v>
      </c>
      <c r="I207" s="45">
        <v>17556.86</v>
      </c>
      <c r="J207" s="13" t="s">
        <v>838</v>
      </c>
      <c r="K207" s="8" t="s">
        <v>927</v>
      </c>
      <c r="L207" s="8" t="s">
        <v>40</v>
      </c>
      <c r="M207" s="8" t="s">
        <v>30</v>
      </c>
      <c r="N207" s="8" t="s">
        <v>29</v>
      </c>
      <c r="O207" s="8" t="s">
        <v>160</v>
      </c>
      <c r="P207" s="8" t="s">
        <v>836</v>
      </c>
      <c r="Q207" s="119" t="s">
        <v>908</v>
      </c>
      <c r="R207" s="12">
        <v>45566</v>
      </c>
      <c r="S207" s="8" t="s">
        <v>34</v>
      </c>
      <c r="T207" s="7" t="s">
        <v>839</v>
      </c>
    </row>
    <row r="208" spans="2:20" x14ac:dyDescent="0.25">
      <c r="B208" s="3">
        <v>167</v>
      </c>
      <c r="C208" s="3" t="s">
        <v>21</v>
      </c>
      <c r="D208" s="4" t="s">
        <v>22</v>
      </c>
      <c r="E208" s="4">
        <v>4</v>
      </c>
      <c r="F208" s="3"/>
      <c r="G208" s="6" t="s">
        <v>24</v>
      </c>
      <c r="H208" s="14" t="s">
        <v>841</v>
      </c>
      <c r="I208" s="46">
        <f>30000+12094</f>
        <v>42094</v>
      </c>
      <c r="J208" s="14"/>
      <c r="K208" s="4" t="s">
        <v>923</v>
      </c>
      <c r="L208" s="4" t="s">
        <v>40</v>
      </c>
      <c r="M208" s="4" t="s">
        <v>30</v>
      </c>
      <c r="N208" s="4" t="s">
        <v>29</v>
      </c>
      <c r="O208" s="4" t="s">
        <v>95</v>
      </c>
      <c r="P208" s="4" t="s">
        <v>842</v>
      </c>
      <c r="Q208" s="3"/>
      <c r="R208" s="11">
        <v>45657</v>
      </c>
      <c r="S208" s="4" t="s">
        <v>34</v>
      </c>
      <c r="T208" s="4" t="s">
        <v>843</v>
      </c>
    </row>
    <row r="209" spans="1:20" x14ac:dyDescent="0.25">
      <c r="B209" s="7">
        <v>168</v>
      </c>
      <c r="C209" s="7" t="s">
        <v>21</v>
      </c>
      <c r="D209" s="8" t="s">
        <v>22</v>
      </c>
      <c r="E209" s="8">
        <v>3</v>
      </c>
      <c r="F209" s="7"/>
      <c r="G209" s="10" t="s">
        <v>24</v>
      </c>
      <c r="H209" s="13" t="s">
        <v>846</v>
      </c>
      <c r="I209" s="45">
        <v>5000</v>
      </c>
      <c r="J209" s="13" t="s">
        <v>845</v>
      </c>
      <c r="K209" s="8" t="s">
        <v>921</v>
      </c>
      <c r="L209" s="8" t="s">
        <v>40</v>
      </c>
      <c r="M209" s="8" t="s">
        <v>30</v>
      </c>
      <c r="N209" s="8" t="s">
        <v>29</v>
      </c>
      <c r="O209" s="8" t="s">
        <v>160</v>
      </c>
      <c r="P209" s="8" t="s">
        <v>844</v>
      </c>
      <c r="Q209" s="7"/>
      <c r="R209" s="12">
        <v>45383</v>
      </c>
      <c r="S209" s="8" t="s">
        <v>34</v>
      </c>
      <c r="T209" s="7" t="s">
        <v>847</v>
      </c>
    </row>
    <row r="210" spans="1:20" x14ac:dyDescent="0.25">
      <c r="B210" s="3">
        <v>169</v>
      </c>
      <c r="C210" s="3" t="s">
        <v>21</v>
      </c>
      <c r="D210" s="4" t="s">
        <v>22</v>
      </c>
      <c r="E210" s="4">
        <v>3</v>
      </c>
      <c r="F210" s="3" t="s">
        <v>540</v>
      </c>
      <c r="G210" s="6" t="s">
        <v>24</v>
      </c>
      <c r="H210" s="14" t="s">
        <v>848</v>
      </c>
      <c r="I210" s="46">
        <v>3210</v>
      </c>
      <c r="J210" s="14" t="s">
        <v>849</v>
      </c>
      <c r="K210" s="4" t="s">
        <v>921</v>
      </c>
      <c r="L210" s="4" t="s">
        <v>40</v>
      </c>
      <c r="M210" s="4" t="s">
        <v>30</v>
      </c>
      <c r="N210" s="4" t="s">
        <v>29</v>
      </c>
      <c r="O210" s="4" t="s">
        <v>160</v>
      </c>
      <c r="P210" s="4" t="s">
        <v>850</v>
      </c>
      <c r="Q210" s="3"/>
      <c r="R210" s="11">
        <v>45432</v>
      </c>
      <c r="S210" s="4" t="s">
        <v>34</v>
      </c>
      <c r="T210" s="4" t="s">
        <v>851</v>
      </c>
    </row>
    <row r="211" spans="1:20" x14ac:dyDescent="0.25">
      <c r="B211" s="32">
        <v>170</v>
      </c>
      <c r="C211" s="32" t="s">
        <v>21</v>
      </c>
      <c r="D211" s="33" t="s">
        <v>324</v>
      </c>
      <c r="E211" s="33">
        <v>3</v>
      </c>
      <c r="F211" s="32"/>
      <c r="G211" s="34" t="s">
        <v>326</v>
      </c>
      <c r="H211" s="35" t="s">
        <v>855</v>
      </c>
      <c r="I211" s="36">
        <v>25000</v>
      </c>
      <c r="J211" s="35" t="s">
        <v>856</v>
      </c>
      <c r="K211" s="33" t="s">
        <v>58</v>
      </c>
      <c r="L211" s="33" t="s">
        <v>28</v>
      </c>
      <c r="M211" s="33" t="s">
        <v>30</v>
      </c>
      <c r="N211" s="33" t="s">
        <v>29</v>
      </c>
      <c r="O211" s="33" t="s">
        <v>160</v>
      </c>
      <c r="P211" s="33" t="s">
        <v>857</v>
      </c>
      <c r="Q211" s="32" t="s">
        <v>858</v>
      </c>
      <c r="R211" s="37">
        <v>45585</v>
      </c>
      <c r="S211" s="33" t="s">
        <v>34</v>
      </c>
      <c r="T211" s="33"/>
    </row>
    <row r="212" spans="1:20" x14ac:dyDescent="0.25">
      <c r="B212" s="38">
        <v>171</v>
      </c>
      <c r="C212" s="38" t="s">
        <v>21</v>
      </c>
      <c r="D212" s="39" t="s">
        <v>324</v>
      </c>
      <c r="E212" s="39">
        <v>4</v>
      </c>
      <c r="F212" s="38"/>
      <c r="G212" s="40" t="s">
        <v>326</v>
      </c>
      <c r="H212" s="41" t="s">
        <v>859</v>
      </c>
      <c r="I212" s="42">
        <v>5800000</v>
      </c>
      <c r="J212" s="41" t="s">
        <v>860</v>
      </c>
      <c r="K212" s="39" t="s">
        <v>58</v>
      </c>
      <c r="L212" s="39" t="s">
        <v>28</v>
      </c>
      <c r="M212" s="39" t="s">
        <v>30</v>
      </c>
      <c r="N212" s="39" t="s">
        <v>29</v>
      </c>
      <c r="O212" s="39" t="s">
        <v>95</v>
      </c>
      <c r="P212" s="132" t="s">
        <v>903</v>
      </c>
      <c r="Q212" s="39" t="s">
        <v>858</v>
      </c>
      <c r="R212" s="43">
        <v>45524</v>
      </c>
      <c r="S212" s="39" t="s">
        <v>34</v>
      </c>
      <c r="T212" s="39"/>
    </row>
    <row r="213" spans="1:20" x14ac:dyDescent="0.25">
      <c r="B213" s="32">
        <v>172</v>
      </c>
      <c r="C213" s="32" t="s">
        <v>21</v>
      </c>
      <c r="D213" s="33" t="s">
        <v>324</v>
      </c>
      <c r="E213" s="33">
        <v>4</v>
      </c>
      <c r="F213" s="32"/>
      <c r="G213" s="34" t="s">
        <v>326</v>
      </c>
      <c r="H213" s="35" t="s">
        <v>861</v>
      </c>
      <c r="I213" s="36">
        <v>2400</v>
      </c>
      <c r="J213" s="35" t="s">
        <v>862</v>
      </c>
      <c r="K213" s="33" t="s">
        <v>58</v>
      </c>
      <c r="L213" s="33" t="s">
        <v>28</v>
      </c>
      <c r="M213" s="33" t="s">
        <v>30</v>
      </c>
      <c r="N213" s="33" t="s">
        <v>29</v>
      </c>
      <c r="O213" s="33" t="s">
        <v>160</v>
      </c>
      <c r="P213" s="33" t="s">
        <v>863</v>
      </c>
      <c r="Q213" s="32" t="s">
        <v>858</v>
      </c>
      <c r="R213" s="37">
        <v>45463</v>
      </c>
      <c r="S213" s="33" t="s">
        <v>34</v>
      </c>
      <c r="T213" s="33"/>
    </row>
    <row r="214" spans="1:20" x14ac:dyDescent="0.25">
      <c r="B214" s="3">
        <v>173</v>
      </c>
      <c r="C214" s="3" t="s">
        <v>21</v>
      </c>
      <c r="D214" s="4" t="s">
        <v>22</v>
      </c>
      <c r="E214" s="4">
        <v>4</v>
      </c>
      <c r="F214" s="3"/>
      <c r="G214" s="6" t="s">
        <v>24</v>
      </c>
      <c r="H214" s="14" t="s">
        <v>865</v>
      </c>
      <c r="I214" s="46">
        <v>5000</v>
      </c>
      <c r="J214" s="14" t="s">
        <v>866</v>
      </c>
      <c r="K214" s="4" t="s">
        <v>929</v>
      </c>
      <c r="L214" s="4" t="s">
        <v>40</v>
      </c>
      <c r="M214" s="4" t="s">
        <v>30</v>
      </c>
      <c r="N214" s="4" t="s">
        <v>29</v>
      </c>
      <c r="O214" s="4" t="s">
        <v>160</v>
      </c>
      <c r="P214" s="4" t="s">
        <v>867</v>
      </c>
      <c r="Q214" s="3"/>
      <c r="R214" s="11">
        <v>45446</v>
      </c>
      <c r="S214" s="4" t="s">
        <v>34</v>
      </c>
      <c r="T214" s="4" t="s">
        <v>868</v>
      </c>
    </row>
    <row r="215" spans="1:20" x14ac:dyDescent="0.25">
      <c r="B215" s="120">
        <v>174</v>
      </c>
      <c r="C215" s="114" t="s">
        <v>21</v>
      </c>
      <c r="D215" s="115" t="s">
        <v>22</v>
      </c>
      <c r="E215" s="114">
        <v>4</v>
      </c>
      <c r="F215" s="114"/>
      <c r="G215" s="116" t="s">
        <v>24</v>
      </c>
      <c r="H215" s="117" t="s">
        <v>888</v>
      </c>
      <c r="I215" s="106">
        <v>0</v>
      </c>
      <c r="J215" s="117" t="s">
        <v>889</v>
      </c>
      <c r="K215" s="115" t="s">
        <v>929</v>
      </c>
      <c r="L215" s="115" t="s">
        <v>40</v>
      </c>
      <c r="M215" s="115" t="s">
        <v>30</v>
      </c>
      <c r="N215" s="115" t="s">
        <v>29</v>
      </c>
      <c r="O215" s="115" t="s">
        <v>95</v>
      </c>
      <c r="P215" s="115" t="s">
        <v>890</v>
      </c>
      <c r="Q215" s="114"/>
      <c r="R215" s="118">
        <v>45505</v>
      </c>
      <c r="S215" s="115" t="s">
        <v>34</v>
      </c>
      <c r="T215" s="114" t="s">
        <v>891</v>
      </c>
    </row>
    <row r="216" spans="1:20" s="109" customFormat="1" x14ac:dyDescent="0.25">
      <c r="A216"/>
      <c r="B216" s="120">
        <v>175</v>
      </c>
      <c r="C216" s="109" t="s">
        <v>21</v>
      </c>
      <c r="D216" s="110" t="s">
        <v>22</v>
      </c>
      <c r="E216" s="109">
        <v>3</v>
      </c>
      <c r="G216" s="111" t="s">
        <v>24</v>
      </c>
      <c r="H216" s="112" t="s">
        <v>901</v>
      </c>
      <c r="I216" s="122">
        <v>46656.4</v>
      </c>
      <c r="J216" s="112" t="s">
        <v>896</v>
      </c>
      <c r="K216" s="110" t="s">
        <v>927</v>
      </c>
      <c r="L216" s="110" t="s">
        <v>40</v>
      </c>
      <c r="M216" s="110" t="s">
        <v>30</v>
      </c>
      <c r="N216" s="110" t="s">
        <v>29</v>
      </c>
      <c r="O216" s="110" t="s">
        <v>95</v>
      </c>
      <c r="P216" s="110" t="s">
        <v>895</v>
      </c>
      <c r="R216" s="113">
        <v>45505</v>
      </c>
      <c r="S216" s="110" t="s">
        <v>34</v>
      </c>
      <c r="T216" s="110" t="s">
        <v>897</v>
      </c>
    </row>
    <row r="217" spans="1:20" x14ac:dyDescent="0.25">
      <c r="B217" s="120">
        <v>176</v>
      </c>
      <c r="C217" s="127" t="s">
        <v>21</v>
      </c>
      <c r="D217" s="128" t="s">
        <v>324</v>
      </c>
      <c r="E217" s="127">
        <v>4</v>
      </c>
      <c r="F217" s="127"/>
      <c r="G217" s="129" t="s">
        <v>326</v>
      </c>
      <c r="H217" s="130" t="s">
        <v>898</v>
      </c>
      <c r="I217" s="107">
        <f>3124764.53+0.47</f>
        <v>3124765</v>
      </c>
      <c r="J217" s="130" t="s">
        <v>899</v>
      </c>
      <c r="K217" s="128" t="s">
        <v>58</v>
      </c>
      <c r="L217" s="128" t="s">
        <v>28</v>
      </c>
      <c r="M217" s="128" t="s">
        <v>30</v>
      </c>
      <c r="N217" s="128" t="s">
        <v>29</v>
      </c>
      <c r="O217" s="128" t="s">
        <v>95</v>
      </c>
      <c r="P217" s="128" t="s">
        <v>900</v>
      </c>
      <c r="Q217" s="128" t="s">
        <v>858</v>
      </c>
      <c r="R217" s="131">
        <v>45493</v>
      </c>
      <c r="S217" s="128" t="s">
        <v>34</v>
      </c>
      <c r="T217" s="128" t="s">
        <v>480</v>
      </c>
    </row>
    <row r="218" spans="1:20" x14ac:dyDescent="0.25">
      <c r="B218" s="156">
        <v>177</v>
      </c>
      <c r="C218" s="146" t="s">
        <v>21</v>
      </c>
      <c r="D218" s="147" t="s">
        <v>324</v>
      </c>
      <c r="E218" s="146">
        <v>4</v>
      </c>
      <c r="F218" s="146"/>
      <c r="G218" s="148" t="s">
        <v>326</v>
      </c>
      <c r="H218" s="149" t="s">
        <v>911</v>
      </c>
      <c r="I218" s="145">
        <f>2500000</f>
        <v>2500000</v>
      </c>
      <c r="J218" s="149" t="s">
        <v>912</v>
      </c>
      <c r="K218" s="147" t="s">
        <v>58</v>
      </c>
      <c r="L218" s="147" t="s">
        <v>28</v>
      </c>
      <c r="M218" s="147" t="s">
        <v>30</v>
      </c>
      <c r="N218" s="147" t="s">
        <v>29</v>
      </c>
      <c r="O218" s="147" t="s">
        <v>95</v>
      </c>
      <c r="P218" s="147" t="s">
        <v>913</v>
      </c>
      <c r="Q218" s="147" t="s">
        <v>858</v>
      </c>
      <c r="R218" s="150">
        <v>45493</v>
      </c>
      <c r="S218" s="147" t="s">
        <v>34</v>
      </c>
      <c r="T218" s="147"/>
    </row>
    <row r="219" spans="1:20" x14ac:dyDescent="0.25">
      <c r="B219" s="119">
        <v>178</v>
      </c>
      <c r="C219" s="151" t="s">
        <v>21</v>
      </c>
      <c r="D219" s="152" t="s">
        <v>324</v>
      </c>
      <c r="E219" s="151">
        <v>3</v>
      </c>
      <c r="F219" s="151"/>
      <c r="G219" s="153" t="s">
        <v>326</v>
      </c>
      <c r="H219" s="154" t="s">
        <v>914</v>
      </c>
      <c r="I219" s="126">
        <f>319770/12*2</f>
        <v>53295</v>
      </c>
      <c r="J219" s="154" t="s">
        <v>915</v>
      </c>
      <c r="K219" s="152" t="s">
        <v>58</v>
      </c>
      <c r="L219" s="152" t="s">
        <v>28</v>
      </c>
      <c r="M219" s="152" t="s">
        <v>30</v>
      </c>
      <c r="N219" s="152" t="s">
        <v>29</v>
      </c>
      <c r="O219" s="152" t="s">
        <v>95</v>
      </c>
      <c r="P219" s="152" t="s">
        <v>916</v>
      </c>
      <c r="Q219" s="152" t="s">
        <v>858</v>
      </c>
      <c r="R219" s="155">
        <v>45493</v>
      </c>
      <c r="S219" s="152" t="s">
        <v>34</v>
      </c>
      <c r="T219" s="152"/>
    </row>
    <row r="220" spans="1:20" x14ac:dyDescent="0.25">
      <c r="B220" s="120">
        <v>179</v>
      </c>
      <c r="C220" s="114" t="s">
        <v>21</v>
      </c>
      <c r="D220" s="115" t="s">
        <v>22</v>
      </c>
      <c r="E220" s="114">
        <v>3</v>
      </c>
      <c r="F220" s="114" t="s">
        <v>77</v>
      </c>
      <c r="G220" s="116" t="s">
        <v>24</v>
      </c>
      <c r="H220" s="117" t="s">
        <v>917</v>
      </c>
      <c r="I220" s="107">
        <f>80636.36</f>
        <v>80636.36</v>
      </c>
      <c r="J220" s="117" t="s">
        <v>309</v>
      </c>
      <c r="K220" s="115" t="s">
        <v>926</v>
      </c>
      <c r="L220" s="115" t="s">
        <v>304</v>
      </c>
      <c r="M220" s="115" t="s">
        <v>29</v>
      </c>
      <c r="N220" s="115" t="s">
        <v>30</v>
      </c>
      <c r="O220" s="115" t="s">
        <v>58</v>
      </c>
      <c r="P220" s="115" t="s">
        <v>918</v>
      </c>
      <c r="Q220" s="115"/>
      <c r="R220" s="157" t="s">
        <v>58</v>
      </c>
      <c r="S220" s="115" t="s">
        <v>43</v>
      </c>
      <c r="T220" s="114" t="s">
        <v>143</v>
      </c>
    </row>
    <row r="221" spans="1:20" s="15" customFormat="1" x14ac:dyDescent="0.25">
      <c r="T221" s="16"/>
    </row>
    <row r="222" spans="1:20" s="15" customFormat="1" x14ac:dyDescent="0.25">
      <c r="B222" s="29"/>
      <c r="C222" s="15" t="s">
        <v>720</v>
      </c>
      <c r="T222" s="16"/>
    </row>
    <row r="223" spans="1:20" s="15" customFormat="1" x14ac:dyDescent="0.25">
      <c r="B223" s="30"/>
      <c r="C223" s="15" t="s">
        <v>721</v>
      </c>
      <c r="T223" s="16"/>
    </row>
    <row r="224" spans="1:20" s="15" customFormat="1" x14ac:dyDescent="0.25">
      <c r="B224" s="31"/>
      <c r="C224" s="15" t="s">
        <v>722</v>
      </c>
      <c r="T224" s="16"/>
    </row>
  </sheetData>
  <autoFilter ref="B6:T220" xr:uid="{00000000-0001-0000-0000-000000000000}"/>
  <dataValidations count="21">
    <dataValidation allowBlank="1" showInputMessage="1" showErrorMessage="1" promptTitle="Ação orçamentária" prompt="Informação gerada pela SOF. Para o preenchimento é preciso avaliar a tabela contida no manual de utilização do formulário de captação de demandas" sqref="C6" xr:uid="{2C304296-CA84-4637-80E9-64B08B0A51B9}"/>
    <dataValidation allowBlank="1" showInputMessage="1" showErrorMessage="1" promptTitle="Plano orçamentário" prompt="Informação gerada pela SOF. Para o preenchimento é preciso avaliar a tabela contida no manual de utilização do formulário de captação de demandas" sqref="D6" xr:uid="{819BBA7B-0762-4B99-9CC5-30B14A17A0A9}"/>
    <dataValidation allowBlank="1" showInputMessage="1" showErrorMessage="1" promptTitle="Natureza de despesa detalhada" prompt="Informação gerada pela SOF. Para o preenchimento deve-se avaliar a classificação orçamentária informada no processo SEI do objeto " sqref="F6" xr:uid="{0ECC3ADF-19B9-4D37-95F0-00B9477103AE}"/>
    <dataValidation allowBlank="1" showInputMessage="1" showErrorMessage="1" promptTitle="Demanda" prompt="Descreva o objeto da contratação resumidamente" sqref="H6" xr:uid="{7D50CDA6-0A72-45D0-A94E-97E84C364F5F}"/>
    <dataValidation allowBlank="1" showInputMessage="1" showErrorMessage="1" promptTitle="Justificativa" prompt="Descreva a justificativa da contratação do objeto" sqref="J6" xr:uid="{CE20FB1A-095F-4CB8-B2E3-E31206BDB01C}"/>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xr:uid="{7C9C09C0-13F0-4F63-92E5-CA197E0E4440}"/>
    <dataValidation allowBlank="1" showInputMessage="1" showErrorMessage="1" promptTitle="Unidade" prompt="Não é necessário o preenchimento" sqref="G6" xr:uid="{64643A31-8E5C-4FFB-A7C1-8C82006B356D}"/>
    <dataValidation allowBlank="1" showInputMessage="1" showErrorMessage="1" promptTitle="UGR" prompt="Quando necessário, insira a unidade gestora responsável pelo objeto" sqref="K6" xr:uid="{FF4C0D24-F44C-4517-850A-B9E12282036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xr:uid="{104C8E05-F056-46AC-80F1-C4C10EF0C93A}"/>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xr:uid="{A9E53736-05D2-46BA-94BF-394738EA8FE7}"/>
    <dataValidation allowBlank="1" showInputMessage="1" showErrorMessage="1" promptTitle="Tipo de aquisição" prompt="Selecione “Licitação”, “Somente execução”, “Contratação direta”, “Prorrogação”, “n/a” na lista suspensa" sqref="O6" xr:uid="{C970A3E1-2D0C-4BC2-8BCB-BB193B44FBCE}"/>
    <dataValidation allowBlank="1" showInputMessage="1" showErrorMessage="1" promptTitle="Processo SEI" prompt="Informe o processo SEI do objeto " sqref="P6" xr:uid="{E9675BF7-A4BA-44E8-9B58-DAEFBC9E7F8E}"/>
    <dataValidation allowBlank="1" showInputMessage="1" showErrorMessage="1" promptTitle="Nº do contrato, ARP ou NE" prompt="Quando houver sido gerado, registrar o número do contrato, ata de registro de preço ou nota de empenho do objeto. Caso contrário deve-se registrar n/a" sqref="Q6" xr:uid="{D1DEDA60-FB52-47A8-8202-F9C8AAA5BA35}"/>
    <dataValidation allowBlank="1" showInputMessage="1" showErrorMessage="1" promptTitle="Data de referência" prompt="Este campo deve ser preenchido somente caso o tipo de contratação seja &quot;Contratação direta&quot; ou &quot;Licitação&quot;, caso contrário preencha &quot;n/a&quot;. A data preenchida refere-se à quando a unidade demandante espera que seja iniciada a execução da contratação" sqref="R6" xr:uid="{82D86714-C3E7-4017-8236-92BE19CFD4F6}"/>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xr:uid="{DCD5BB88-2747-4960-B1A2-180494B71F19}"/>
    <dataValidation type="list" allowBlank="1" showInputMessage="1" showErrorMessage="1" sqref="S177 S79 S7:S8" xr:uid="{1EB23E51-969D-4935-BE20-605CFA6DA28E}">
      <formula1>"Baixa, Média, Alta, n/a"</formula1>
    </dataValidation>
    <dataValidation type="list" allowBlank="1" showInputMessage="1" showErrorMessage="1" sqref="M7:N8 M79:N79 N177" xr:uid="{6F1B1B7D-26F6-4C52-ABB3-1D354C30DC53}">
      <formula1>"Sim, Não"</formula1>
    </dataValidation>
    <dataValidation allowBlank="1" showInputMessage="1" showErrorMessage="1" promptTitle="Classificação CATMAT / CATSER" prompt="Este campo deverá ser preenchido com o código da classe do Catálogo de Materiais e Serviços." sqref="T6" xr:uid="{F04C268B-D135-4F27-B307-B5C3CBEF0275}"/>
    <dataValidation allowBlank="1" showInputMessage="1" showErrorMessage="1" promptTitle="Captação" prompt="Insira o orçamento necessário para atender a demanda no referente _x000a_exercício" sqref="I6" xr:uid="{B12CF8BA-B44F-4ACA-9E6E-C16F4A5B6DC0}"/>
    <dataValidation allowBlank="1" showInputMessage="1" showErrorMessage="1" promptTitle="Item PCA" prompt="Não é necessário o preenchimento" sqref="B6" xr:uid="{73F0D2E5-CB9B-4EC3-9E8A-4E6C342EF916}"/>
    <dataValidation type="list" allowBlank="1" showInputMessage="1" showErrorMessage="1" sqref="O7:O220" xr:uid="{32960835-1866-45F3-ABAA-9C42A024ECAF}">
      <formula1>"Licitação, Contratação Direta, Prorrogação, Somente execução, Somente execução - Dispensa, Suprimento de fundos, n/a"</formula1>
    </dataValidation>
  </dataValidations>
  <pageMargins left="0.511811024" right="0.511811024" top="0.78740157499999996" bottom="0.78740157499999996" header="0.31496062000000002" footer="0.31496062000000002"/>
  <pageSetup paperSize="9" scale="1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V28"/>
  <sheetViews>
    <sheetView zoomScale="80" zoomScaleNormal="80" workbookViewId="0">
      <selection activeCell="F18" sqref="F18"/>
    </sheetView>
  </sheetViews>
  <sheetFormatPr defaultColWidth="0" defaultRowHeight="15" customHeight="1" zeroHeight="1"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5.7109375" customWidth="1"/>
    <col min="12" max="12" width="22.7109375" customWidth="1"/>
    <col min="13" max="13" width="15.140625" customWidth="1"/>
    <col min="14" max="14" width="17.85546875" customWidth="1"/>
    <col min="15" max="15" width="22" bestFit="1" customWidth="1"/>
    <col min="16" max="16" width="28.140625" customWidth="1"/>
    <col min="17" max="17" width="21.7109375" customWidth="1"/>
    <col min="18" max="18" width="17.42578125" style="21" customWidth="1"/>
    <col min="19" max="19" width="15.28515625" customWidth="1"/>
    <col min="20" max="20" width="3.85546875" customWidth="1"/>
    <col min="21" max="22" width="0" hidden="1" customWidth="1"/>
    <col min="23" max="16384" width="8.85546875" hidden="1"/>
  </cols>
  <sheetData>
    <row r="1" spans="2:19" ht="15.75" outlineLevel="1" thickBot="1" x14ac:dyDescent="0.3"/>
    <row r="2" spans="2:19" ht="26.25" outlineLevel="1" thickBot="1" x14ac:dyDescent="0.5">
      <c r="B2" s="22" t="s">
        <v>0</v>
      </c>
      <c r="C2" s="23"/>
      <c r="D2" s="23"/>
      <c r="E2" s="23"/>
      <c r="F2" s="23"/>
      <c r="G2" s="23"/>
      <c r="H2" s="23"/>
      <c r="I2" s="23"/>
      <c r="J2" s="23"/>
      <c r="K2" s="23"/>
      <c r="L2" s="23"/>
      <c r="M2" s="23"/>
      <c r="N2" s="23"/>
      <c r="O2" s="23"/>
      <c r="P2" s="23"/>
      <c r="Q2" s="23"/>
      <c r="R2" s="23"/>
      <c r="S2" s="23"/>
    </row>
    <row r="3" spans="2:19" ht="23.25" customHeight="1" outlineLevel="1" thickBot="1" x14ac:dyDescent="0.3">
      <c r="B3" s="24" t="s">
        <v>723</v>
      </c>
      <c r="C3" s="25"/>
      <c r="D3" s="25"/>
      <c r="E3" s="25"/>
      <c r="F3" s="25"/>
      <c r="G3" s="25"/>
      <c r="H3" s="25"/>
      <c r="I3" s="25"/>
      <c r="J3" s="25"/>
      <c r="K3" s="25"/>
      <c r="L3" s="25"/>
      <c r="M3" s="25"/>
      <c r="N3" s="25"/>
      <c r="O3" s="25"/>
      <c r="P3" s="25"/>
      <c r="Q3" s="25"/>
      <c r="R3" s="25"/>
      <c r="S3" s="26"/>
    </row>
    <row r="4" spans="2:19" ht="15.75" outlineLevel="1" thickBot="1" x14ac:dyDescent="0.3">
      <c r="B4" s="17"/>
      <c r="C4" s="17"/>
      <c r="D4" s="17"/>
      <c r="E4" s="17"/>
      <c r="F4" s="17"/>
      <c r="G4" s="17"/>
      <c r="H4" s="18"/>
      <c r="I4" s="17"/>
      <c r="J4" s="18"/>
      <c r="K4" s="18"/>
      <c r="L4" s="17"/>
      <c r="M4" s="17"/>
      <c r="N4" s="17"/>
      <c r="O4" s="17"/>
      <c r="P4" s="17"/>
      <c r="Q4" s="17"/>
      <c r="R4" s="19"/>
      <c r="S4" s="17"/>
    </row>
    <row r="5" spans="2:19" ht="15.75" outlineLevel="1" thickBot="1" x14ac:dyDescent="0.3">
      <c r="B5" s="17"/>
      <c r="C5" s="17"/>
      <c r="D5" s="17"/>
      <c r="E5" s="17"/>
      <c r="F5" s="17"/>
      <c r="G5" s="17"/>
      <c r="H5" s="18"/>
      <c r="I5" s="28">
        <f>SUBTOTAL(9,I7:I498)</f>
        <v>19960531.847591709</v>
      </c>
      <c r="J5" s="18"/>
      <c r="K5" s="18"/>
      <c r="L5" s="17"/>
      <c r="M5" s="17"/>
      <c r="N5" s="17"/>
      <c r="O5" s="17"/>
      <c r="P5" s="17"/>
      <c r="Q5" s="17"/>
      <c r="R5" s="19"/>
      <c r="S5" s="17"/>
    </row>
    <row r="6" spans="2:19" s="20" customFormat="1" ht="57" customHeight="1" x14ac:dyDescent="0.25">
      <c r="B6" s="1" t="s">
        <v>2</v>
      </c>
      <c r="C6" s="1" t="s">
        <v>3</v>
      </c>
      <c r="D6" s="1" t="s">
        <v>4</v>
      </c>
      <c r="E6" s="1" t="s">
        <v>5</v>
      </c>
      <c r="F6" s="1" t="s">
        <v>6</v>
      </c>
      <c r="G6" s="1" t="s">
        <v>7</v>
      </c>
      <c r="H6" s="1" t="s">
        <v>8</v>
      </c>
      <c r="I6" s="27" t="s">
        <v>9</v>
      </c>
      <c r="J6" s="1" t="s">
        <v>10</v>
      </c>
      <c r="K6" s="1" t="s">
        <v>12</v>
      </c>
      <c r="L6" s="1" t="s">
        <v>11</v>
      </c>
      <c r="M6" s="1" t="s">
        <v>13</v>
      </c>
      <c r="N6" s="1" t="s">
        <v>14</v>
      </c>
      <c r="O6" s="1" t="s">
        <v>15</v>
      </c>
      <c r="P6" s="1" t="s">
        <v>16</v>
      </c>
      <c r="Q6" s="1" t="s">
        <v>17</v>
      </c>
      <c r="R6" s="2" t="s">
        <v>18</v>
      </c>
      <c r="S6" s="1" t="s">
        <v>19</v>
      </c>
    </row>
    <row r="7" spans="2:19" x14ac:dyDescent="0.25">
      <c r="B7" s="3"/>
      <c r="C7" s="3" t="s">
        <v>21</v>
      </c>
      <c r="D7" s="4" t="s">
        <v>22</v>
      </c>
      <c r="E7" s="4">
        <v>3</v>
      </c>
      <c r="F7" s="3" t="s">
        <v>724</v>
      </c>
      <c r="G7" s="6" t="s">
        <v>24</v>
      </c>
      <c r="H7" s="14" t="s">
        <v>725</v>
      </c>
      <c r="I7" s="5">
        <v>48257.644800000002</v>
      </c>
      <c r="J7" s="14" t="s">
        <v>726</v>
      </c>
      <c r="K7" s="4" t="s">
        <v>40</v>
      </c>
      <c r="L7" s="4" t="s">
        <v>48</v>
      </c>
      <c r="M7" s="4" t="s">
        <v>29</v>
      </c>
      <c r="N7" s="4" t="s">
        <v>30</v>
      </c>
      <c r="O7" s="4" t="s">
        <v>49</v>
      </c>
      <c r="P7" s="4" t="s">
        <v>50</v>
      </c>
      <c r="Q7" s="4" t="s">
        <v>51</v>
      </c>
      <c r="R7" s="11" t="s">
        <v>52</v>
      </c>
      <c r="S7" s="4" t="s">
        <v>34</v>
      </c>
    </row>
    <row r="8" spans="2:19" x14ac:dyDescent="0.25">
      <c r="B8" s="7"/>
      <c r="C8" s="7" t="s">
        <v>21</v>
      </c>
      <c r="D8" s="8" t="s">
        <v>22</v>
      </c>
      <c r="E8" s="8">
        <v>3</v>
      </c>
      <c r="F8" s="7" t="s">
        <v>727</v>
      </c>
      <c r="G8" s="10" t="s">
        <v>24</v>
      </c>
      <c r="H8" s="13" t="s">
        <v>728</v>
      </c>
      <c r="I8" s="9">
        <v>7285.65</v>
      </c>
      <c r="J8" s="13" t="s">
        <v>79</v>
      </c>
      <c r="K8" s="8" t="s">
        <v>40</v>
      </c>
      <c r="L8" s="8" t="s">
        <v>80</v>
      </c>
      <c r="M8" s="8" t="s">
        <v>29</v>
      </c>
      <c r="N8" s="8" t="s">
        <v>30</v>
      </c>
      <c r="O8" s="8" t="s">
        <v>49</v>
      </c>
      <c r="P8" s="8" t="s">
        <v>58</v>
      </c>
      <c r="Q8" s="8" t="s">
        <v>58</v>
      </c>
      <c r="R8" s="12" t="s">
        <v>58</v>
      </c>
      <c r="S8" s="8" t="s">
        <v>34</v>
      </c>
    </row>
    <row r="9" spans="2:19" x14ac:dyDescent="0.25">
      <c r="B9" s="3"/>
      <c r="C9" s="3" t="s">
        <v>21</v>
      </c>
      <c r="D9" s="4" t="s">
        <v>22</v>
      </c>
      <c r="E9" s="4">
        <v>3</v>
      </c>
      <c r="F9" s="3" t="s">
        <v>727</v>
      </c>
      <c r="G9" s="6" t="s">
        <v>24</v>
      </c>
      <c r="H9" s="14" t="s">
        <v>729</v>
      </c>
      <c r="I9" s="5">
        <v>7437.1</v>
      </c>
      <c r="J9" s="14" t="s">
        <v>79</v>
      </c>
      <c r="K9" s="4" t="s">
        <v>40</v>
      </c>
      <c r="L9" s="4" t="s">
        <v>80</v>
      </c>
      <c r="M9" s="4" t="s">
        <v>29</v>
      </c>
      <c r="N9" s="4" t="s">
        <v>30</v>
      </c>
      <c r="O9" s="4" t="s">
        <v>49</v>
      </c>
      <c r="P9" s="4" t="s">
        <v>112</v>
      </c>
      <c r="Q9" s="4"/>
      <c r="R9" s="11" t="s">
        <v>58</v>
      </c>
      <c r="S9" s="4" t="s">
        <v>34</v>
      </c>
    </row>
    <row r="10" spans="2:19" x14ac:dyDescent="0.25">
      <c r="B10" s="7"/>
      <c r="C10" s="7" t="s">
        <v>21</v>
      </c>
      <c r="D10" s="8" t="s">
        <v>22</v>
      </c>
      <c r="E10" s="8">
        <v>3</v>
      </c>
      <c r="F10" s="7" t="s">
        <v>730</v>
      </c>
      <c r="G10" s="10" t="s">
        <v>24</v>
      </c>
      <c r="H10" s="13" t="s">
        <v>731</v>
      </c>
      <c r="I10" s="9">
        <v>460000</v>
      </c>
      <c r="J10" s="13" t="s">
        <v>732</v>
      </c>
      <c r="K10" s="8" t="s">
        <v>40</v>
      </c>
      <c r="L10" s="8" t="s">
        <v>733</v>
      </c>
      <c r="M10" s="8" t="s">
        <v>29</v>
      </c>
      <c r="N10" s="8" t="s">
        <v>29</v>
      </c>
      <c r="O10" s="8" t="s">
        <v>49</v>
      </c>
      <c r="P10" s="8" t="s">
        <v>734</v>
      </c>
      <c r="Q10" s="8"/>
      <c r="R10" s="12">
        <v>45076</v>
      </c>
      <c r="S10" s="8" t="s">
        <v>34</v>
      </c>
    </row>
    <row r="11" spans="2:19" x14ac:dyDescent="0.25">
      <c r="B11" s="3"/>
      <c r="C11" s="3" t="s">
        <v>21</v>
      </c>
      <c r="D11" s="4" t="s">
        <v>22</v>
      </c>
      <c r="E11" s="4">
        <v>3</v>
      </c>
      <c r="F11" s="3" t="s">
        <v>735</v>
      </c>
      <c r="G11" s="6" t="s">
        <v>24</v>
      </c>
      <c r="H11" s="14" t="s">
        <v>736</v>
      </c>
      <c r="I11" s="5">
        <v>2700000</v>
      </c>
      <c r="J11" s="14" t="s">
        <v>737</v>
      </c>
      <c r="K11" s="4" t="s">
        <v>275</v>
      </c>
      <c r="L11" s="4" t="s">
        <v>265</v>
      </c>
      <c r="M11" s="4" t="s">
        <v>29</v>
      </c>
      <c r="N11" s="4" t="s">
        <v>30</v>
      </c>
      <c r="O11" s="4" t="s">
        <v>49</v>
      </c>
      <c r="P11" s="4" t="s">
        <v>112</v>
      </c>
      <c r="Q11" s="4"/>
      <c r="R11" s="11"/>
      <c r="S11" s="4" t="s">
        <v>58</v>
      </c>
    </row>
    <row r="12" spans="2:19" x14ac:dyDescent="0.25">
      <c r="B12" s="7"/>
      <c r="C12" s="7" t="s">
        <v>21</v>
      </c>
      <c r="D12" s="8" t="s">
        <v>22</v>
      </c>
      <c r="E12" s="8">
        <v>3</v>
      </c>
      <c r="F12" s="7" t="s">
        <v>738</v>
      </c>
      <c r="G12" s="10" t="s">
        <v>24</v>
      </c>
      <c r="H12" s="13" t="s">
        <v>739</v>
      </c>
      <c r="I12" s="9">
        <v>700000</v>
      </c>
      <c r="J12" s="13" t="s">
        <v>740</v>
      </c>
      <c r="K12" s="8" t="s">
        <v>304</v>
      </c>
      <c r="L12" s="8" t="s">
        <v>303</v>
      </c>
      <c r="M12" s="8" t="s">
        <v>29</v>
      </c>
      <c r="N12" s="8" t="s">
        <v>30</v>
      </c>
      <c r="O12" s="8" t="s">
        <v>58</v>
      </c>
      <c r="P12" s="8" t="s">
        <v>741</v>
      </c>
      <c r="Q12" s="8"/>
      <c r="R12" s="12"/>
      <c r="S12" s="8" t="s">
        <v>34</v>
      </c>
    </row>
    <row r="13" spans="2:19" x14ac:dyDescent="0.25">
      <c r="B13" s="3"/>
      <c r="C13" s="3" t="s">
        <v>21</v>
      </c>
      <c r="D13" s="4" t="s">
        <v>318</v>
      </c>
      <c r="E13" s="4">
        <v>3</v>
      </c>
      <c r="F13" s="3" t="s">
        <v>742</v>
      </c>
      <c r="G13" s="6" t="s">
        <v>320</v>
      </c>
      <c r="H13" s="14" t="s">
        <v>736</v>
      </c>
      <c r="I13" s="5">
        <v>1909600</v>
      </c>
      <c r="J13" s="14" t="s">
        <v>743</v>
      </c>
      <c r="K13" s="4" t="s">
        <v>323</v>
      </c>
      <c r="L13" s="4" t="s">
        <v>58</v>
      </c>
      <c r="M13" s="4" t="s">
        <v>29</v>
      </c>
      <c r="N13" s="4" t="s">
        <v>30</v>
      </c>
      <c r="O13" s="4" t="s">
        <v>58</v>
      </c>
      <c r="P13" s="4" t="s">
        <v>58</v>
      </c>
      <c r="Q13" s="4" t="s">
        <v>58</v>
      </c>
      <c r="R13" s="11" t="s">
        <v>58</v>
      </c>
      <c r="S13" s="4" t="s">
        <v>58</v>
      </c>
    </row>
    <row r="14" spans="2:19" x14ac:dyDescent="0.25">
      <c r="B14" s="79"/>
      <c r="C14" s="79" t="s">
        <v>21</v>
      </c>
      <c r="D14" s="80" t="s">
        <v>690</v>
      </c>
      <c r="E14" s="80">
        <v>3</v>
      </c>
      <c r="F14" s="79" t="s">
        <v>735</v>
      </c>
      <c r="G14" s="81" t="s">
        <v>326</v>
      </c>
      <c r="H14" s="82" t="s">
        <v>744</v>
      </c>
      <c r="I14" s="36">
        <f>2500000-1374-223229.1</f>
        <v>2275396.9</v>
      </c>
      <c r="J14" s="82" t="s">
        <v>745</v>
      </c>
      <c r="K14" s="80" t="s">
        <v>275</v>
      </c>
      <c r="L14" s="80" t="s">
        <v>58</v>
      </c>
      <c r="M14" s="80" t="s">
        <v>29</v>
      </c>
      <c r="N14" s="80" t="s">
        <v>30</v>
      </c>
      <c r="O14" s="80" t="s">
        <v>58</v>
      </c>
      <c r="P14" s="80" t="s">
        <v>58</v>
      </c>
      <c r="Q14" s="80"/>
      <c r="R14" s="83" t="s">
        <v>58</v>
      </c>
      <c r="S14" s="80" t="s">
        <v>58</v>
      </c>
    </row>
    <row r="15" spans="2:19" x14ac:dyDescent="0.25">
      <c r="B15" s="3"/>
      <c r="C15" s="3" t="s">
        <v>21</v>
      </c>
      <c r="D15" s="4" t="s">
        <v>555</v>
      </c>
      <c r="E15" s="4">
        <v>3</v>
      </c>
      <c r="F15" s="3" t="s">
        <v>746</v>
      </c>
      <c r="G15" s="6" t="s">
        <v>556</v>
      </c>
      <c r="H15" s="14" t="s">
        <v>747</v>
      </c>
      <c r="I15" s="5">
        <v>928333.33333333326</v>
      </c>
      <c r="J15" s="14" t="s">
        <v>748</v>
      </c>
      <c r="K15" s="4" t="s">
        <v>304</v>
      </c>
      <c r="L15" s="4" t="s">
        <v>58</v>
      </c>
      <c r="M15" s="4" t="s">
        <v>29</v>
      </c>
      <c r="N15" s="4" t="s">
        <v>29</v>
      </c>
      <c r="O15" s="4" t="s">
        <v>58</v>
      </c>
      <c r="P15" s="4" t="s">
        <v>58</v>
      </c>
      <c r="Q15" s="4" t="s">
        <v>58</v>
      </c>
      <c r="R15" s="11" t="s">
        <v>58</v>
      </c>
      <c r="S15" s="4" t="s">
        <v>58</v>
      </c>
    </row>
    <row r="16" spans="2:19" x14ac:dyDescent="0.25">
      <c r="B16" s="7"/>
      <c r="C16" s="7" t="s">
        <v>21</v>
      </c>
      <c r="D16" s="8" t="s">
        <v>555</v>
      </c>
      <c r="E16" s="8">
        <v>3</v>
      </c>
      <c r="F16" s="7" t="s">
        <v>746</v>
      </c>
      <c r="G16" s="10" t="s">
        <v>556</v>
      </c>
      <c r="H16" s="13" t="s">
        <v>749</v>
      </c>
      <c r="I16" s="9">
        <v>145852</v>
      </c>
      <c r="J16" s="13" t="s">
        <v>750</v>
      </c>
      <c r="K16" s="8" t="s">
        <v>304</v>
      </c>
      <c r="L16" s="8" t="s">
        <v>58</v>
      </c>
      <c r="M16" s="8" t="s">
        <v>29</v>
      </c>
      <c r="N16" s="8" t="s">
        <v>29</v>
      </c>
      <c r="O16" s="8" t="s">
        <v>58</v>
      </c>
      <c r="P16" s="8" t="s">
        <v>58</v>
      </c>
      <c r="Q16" s="8" t="s">
        <v>58</v>
      </c>
      <c r="R16" s="12" t="s">
        <v>58</v>
      </c>
      <c r="S16" s="8" t="s">
        <v>58</v>
      </c>
    </row>
    <row r="17" spans="2:19" x14ac:dyDescent="0.25">
      <c r="B17" s="3"/>
      <c r="C17" s="3" t="s">
        <v>21</v>
      </c>
      <c r="D17" s="4" t="s">
        <v>555</v>
      </c>
      <c r="E17" s="4">
        <v>3</v>
      </c>
      <c r="F17" s="3" t="s">
        <v>746</v>
      </c>
      <c r="G17" s="6" t="s">
        <v>556</v>
      </c>
      <c r="H17" s="14" t="s">
        <v>751</v>
      </c>
      <c r="I17" s="5">
        <v>102096.40000000001</v>
      </c>
      <c r="J17" s="14" t="s">
        <v>752</v>
      </c>
      <c r="K17" s="4" t="s">
        <v>304</v>
      </c>
      <c r="L17" s="4" t="s">
        <v>58</v>
      </c>
      <c r="M17" s="4" t="s">
        <v>29</v>
      </c>
      <c r="N17" s="4" t="s">
        <v>29</v>
      </c>
      <c r="O17" s="4" t="s">
        <v>58</v>
      </c>
      <c r="P17" s="4" t="s">
        <v>58</v>
      </c>
      <c r="Q17" s="4" t="s">
        <v>58</v>
      </c>
      <c r="R17" s="11" t="s">
        <v>58</v>
      </c>
      <c r="S17" s="4" t="s">
        <v>58</v>
      </c>
    </row>
    <row r="18" spans="2:19" x14ac:dyDescent="0.25">
      <c r="B18" s="7"/>
      <c r="C18" s="7" t="s">
        <v>21</v>
      </c>
      <c r="D18" s="8" t="s">
        <v>753</v>
      </c>
      <c r="E18" s="8">
        <v>3</v>
      </c>
      <c r="F18" s="7" t="s">
        <v>229</v>
      </c>
      <c r="G18" s="10" t="s">
        <v>754</v>
      </c>
      <c r="H18" s="13" t="s">
        <v>755</v>
      </c>
      <c r="I18" s="9">
        <v>6687398</v>
      </c>
      <c r="J18" s="13" t="s">
        <v>755</v>
      </c>
      <c r="K18" s="8" t="s">
        <v>565</v>
      </c>
      <c r="L18" s="8" t="s">
        <v>58</v>
      </c>
      <c r="M18" s="8" t="s">
        <v>29</v>
      </c>
      <c r="N18" s="8" t="s">
        <v>29</v>
      </c>
      <c r="O18" s="8" t="s">
        <v>58</v>
      </c>
      <c r="P18" s="8" t="s">
        <v>58</v>
      </c>
      <c r="Q18" s="8" t="s">
        <v>58</v>
      </c>
      <c r="R18" s="12" t="s">
        <v>58</v>
      </c>
      <c r="S18" s="8" t="s">
        <v>43</v>
      </c>
    </row>
    <row r="19" spans="2:19" x14ac:dyDescent="0.25">
      <c r="B19" s="3"/>
      <c r="C19" s="3" t="s">
        <v>756</v>
      </c>
      <c r="D19" s="4" t="s">
        <v>757</v>
      </c>
      <c r="E19" s="4">
        <v>3</v>
      </c>
      <c r="F19" s="3" t="s">
        <v>738</v>
      </c>
      <c r="G19" s="6" t="s">
        <v>556</v>
      </c>
      <c r="H19" s="14" t="s">
        <v>758</v>
      </c>
      <c r="I19" s="5">
        <v>203900</v>
      </c>
      <c r="J19" s="14"/>
      <c r="K19" s="4" t="s">
        <v>304</v>
      </c>
      <c r="L19" s="4" t="s">
        <v>58</v>
      </c>
      <c r="M19" s="4" t="s">
        <v>29</v>
      </c>
      <c r="N19" s="4" t="s">
        <v>30</v>
      </c>
      <c r="O19" s="4" t="s">
        <v>58</v>
      </c>
      <c r="P19" s="4" t="s">
        <v>58</v>
      </c>
      <c r="Q19" s="4" t="s">
        <v>58</v>
      </c>
      <c r="R19" s="11" t="s">
        <v>58</v>
      </c>
      <c r="S19" s="4" t="s">
        <v>34</v>
      </c>
    </row>
    <row r="20" spans="2:19" x14ac:dyDescent="0.25">
      <c r="B20" s="7"/>
      <c r="C20" s="7" t="s">
        <v>756</v>
      </c>
      <c r="D20" s="8" t="s">
        <v>759</v>
      </c>
      <c r="E20" s="8">
        <v>3</v>
      </c>
      <c r="F20" s="7" t="s">
        <v>760</v>
      </c>
      <c r="G20" s="10" t="s">
        <v>556</v>
      </c>
      <c r="H20" s="13" t="s">
        <v>761</v>
      </c>
      <c r="I20" s="9">
        <v>419794</v>
      </c>
      <c r="J20" s="13"/>
      <c r="K20" s="8" t="s">
        <v>304</v>
      </c>
      <c r="L20" s="8" t="s">
        <v>58</v>
      </c>
      <c r="M20" s="8" t="s">
        <v>29</v>
      </c>
      <c r="N20" s="8" t="s">
        <v>30</v>
      </c>
      <c r="O20" s="8" t="s">
        <v>58</v>
      </c>
      <c r="P20" s="8" t="s">
        <v>58</v>
      </c>
      <c r="Q20" s="8" t="s">
        <v>58</v>
      </c>
      <c r="R20" s="12" t="s">
        <v>58</v>
      </c>
      <c r="S20" s="8" t="s">
        <v>58</v>
      </c>
    </row>
    <row r="21" spans="2:19" x14ac:dyDescent="0.25">
      <c r="B21" s="32"/>
      <c r="C21" s="32" t="s">
        <v>21</v>
      </c>
      <c r="D21" s="33" t="s">
        <v>690</v>
      </c>
      <c r="E21" s="33">
        <v>3</v>
      </c>
      <c r="F21" s="32" t="s">
        <v>762</v>
      </c>
      <c r="G21" s="34" t="s">
        <v>326</v>
      </c>
      <c r="H21" s="35" t="s">
        <v>763</v>
      </c>
      <c r="I21" s="36">
        <v>300000</v>
      </c>
      <c r="J21" s="35" t="s">
        <v>764</v>
      </c>
      <c r="K21" s="33" t="s">
        <v>58</v>
      </c>
      <c r="L21" s="33" t="s">
        <v>329</v>
      </c>
      <c r="M21" s="33"/>
      <c r="N21" s="33" t="s">
        <v>30</v>
      </c>
      <c r="O21" s="33" t="s">
        <v>58</v>
      </c>
      <c r="P21" s="33" t="s">
        <v>765</v>
      </c>
      <c r="Q21" s="32"/>
      <c r="R21" s="37" t="s">
        <v>58</v>
      </c>
      <c r="S21" s="33" t="s">
        <v>58</v>
      </c>
    </row>
    <row r="22" spans="2:19" x14ac:dyDescent="0.25">
      <c r="B22" s="98"/>
      <c r="C22" s="98" t="s">
        <v>21</v>
      </c>
      <c r="D22" s="99" t="s">
        <v>324</v>
      </c>
      <c r="E22" s="98">
        <v>3</v>
      </c>
      <c r="F22" s="98"/>
      <c r="G22" s="100" t="s">
        <v>326</v>
      </c>
      <c r="H22" s="101" t="s">
        <v>766</v>
      </c>
      <c r="I22" s="97">
        <v>2062.1999999999998</v>
      </c>
      <c r="J22" s="101" t="s">
        <v>767</v>
      </c>
      <c r="K22" s="99" t="s">
        <v>58</v>
      </c>
      <c r="L22" s="99" t="s">
        <v>58</v>
      </c>
      <c r="M22" s="99" t="s">
        <v>58</v>
      </c>
      <c r="N22" s="99" t="s">
        <v>58</v>
      </c>
      <c r="O22" s="99" t="s">
        <v>58</v>
      </c>
      <c r="P22" s="99" t="s">
        <v>768</v>
      </c>
      <c r="Q22" s="102" t="s">
        <v>58</v>
      </c>
      <c r="R22" s="102" t="s">
        <v>58</v>
      </c>
      <c r="S22" s="99" t="s">
        <v>58</v>
      </c>
    </row>
    <row r="23" spans="2:19" x14ac:dyDescent="0.25">
      <c r="B23" s="3"/>
      <c r="C23" s="3" t="s">
        <v>21</v>
      </c>
      <c r="D23" s="4" t="s">
        <v>22</v>
      </c>
      <c r="E23" s="4">
        <v>3</v>
      </c>
      <c r="F23" s="3"/>
      <c r="G23" s="6" t="s">
        <v>24</v>
      </c>
      <c r="H23" s="14" t="s">
        <v>808</v>
      </c>
      <c r="I23" s="5">
        <v>3063118.6194583774</v>
      </c>
      <c r="J23" s="14"/>
      <c r="K23" s="4" t="s">
        <v>40</v>
      </c>
      <c r="L23" s="4" t="s">
        <v>39</v>
      </c>
      <c r="M23" s="4" t="s">
        <v>30</v>
      </c>
      <c r="N23" s="4" t="s">
        <v>29</v>
      </c>
      <c r="O23" s="4" t="s">
        <v>125</v>
      </c>
      <c r="P23" s="4" t="s">
        <v>809</v>
      </c>
      <c r="Q23" s="4" t="s">
        <v>810</v>
      </c>
      <c r="R23" s="11"/>
      <c r="S23" s="4" t="s">
        <v>43</v>
      </c>
    </row>
    <row r="24" spans="2:19" s="15" customFormat="1" x14ac:dyDescent="0.25">
      <c r="D24" s="96"/>
      <c r="E24" s="96"/>
      <c r="K24" s="96"/>
      <c r="L24" s="96"/>
      <c r="M24" s="96"/>
      <c r="N24" s="96"/>
      <c r="O24" s="96"/>
      <c r="P24" s="96"/>
      <c r="R24" s="96"/>
      <c r="S24" s="96"/>
    </row>
    <row r="25" spans="2:19" s="15" customFormat="1" x14ac:dyDescent="0.25">
      <c r="B25" s="29"/>
      <c r="C25" s="15" t="s">
        <v>720</v>
      </c>
    </row>
    <row r="26" spans="2:19" s="15" customFormat="1" x14ac:dyDescent="0.25">
      <c r="B26" s="30"/>
      <c r="C26" s="15" t="s">
        <v>721</v>
      </c>
    </row>
    <row r="27" spans="2:19" s="15" customFormat="1" x14ac:dyDescent="0.25">
      <c r="B27" s="31"/>
      <c r="C27" s="15" t="s">
        <v>722</v>
      </c>
    </row>
    <row r="28" spans="2:19" ht="15" customHeight="1" x14ac:dyDescent="0.25"/>
  </sheetData>
  <autoFilter ref="B6:S23" xr:uid="{00000000-0001-0000-0100-000000000000}"/>
  <phoneticPr fontId="7" type="noConversion"/>
  <dataValidations count="21">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xr:uid="{38697591-1B9E-44AC-90E9-C1BE71FC9F1D}"/>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xr:uid="{579FA2CE-41CA-4818-9065-31009FC70D7A}"/>
    <dataValidation allowBlank="1" showInputMessage="1" showErrorMessage="1" promptTitle="Nº do contrato, ARP ou NE" prompt="Quando houver sido gerado, registrar o número do contrato, ata de registro de preço ou nota de empenho do objeto. Caso contrário deve-se registrar n/a" sqref="Q6" xr:uid="{48F2E456-C97C-4F71-8F05-E1ABC758252D}"/>
    <dataValidation allowBlank="1" showInputMessage="1" showErrorMessage="1" promptTitle="Processo SEI" prompt="Informe o processo SEI do objeto " sqref="P6" xr:uid="{3BBC3311-4469-4349-AA35-5F5C32158E6F}"/>
    <dataValidation allowBlank="1" showInputMessage="1" showErrorMessage="1" promptTitle="Tipo de aquisição" prompt="Selecione “Licitação”, “Somente execução”, “Aquisição direta”, “Prorrogação”, “n/a” na lista suspensa" sqref="O6" xr:uid="{4179E2BE-0AE9-4DE7-B663-4045D60E5CA0}"/>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xr:uid="{B5B913F7-54D4-427D-B8C7-1725545FB2EC}"/>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xr:uid="{82F978B0-4064-4CB1-82B6-DE5E16032EE5}"/>
    <dataValidation allowBlank="1" showInputMessage="1" showErrorMessage="1" promptTitle="UGR" prompt="Quando necessário, insira a unidade gestora responsável pelo objeto" sqref="L6" xr:uid="{6AFCA1DF-ED8B-4DEF-8711-5D3EBE330532}"/>
    <dataValidation allowBlank="1" showInputMessage="1" showErrorMessage="1" promptTitle="Unidade" prompt="Não é necessário o preenchimento" sqref="G6" xr:uid="{92BBC809-95FB-4215-8DD2-FABBC98355AF}"/>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K6" xr:uid="{211C5B0A-E486-458F-809E-069CDCACF326}"/>
    <dataValidation allowBlank="1" showInputMessage="1" showErrorMessage="1" promptTitle="Justificativa" prompt="Descreva a justificativa da contratação do objeto" sqref="J6" xr:uid="{F2911362-C0A2-44DB-85B2-3EF96CBCCC83}"/>
    <dataValidation allowBlank="1" showInputMessage="1" showErrorMessage="1" promptTitle="Demanda" prompt="Descreva o objeto da contratação resumidamente" sqref="H6" xr:uid="{CFB0F628-7CB3-4D62-8C06-CF24DACE6369}"/>
    <dataValidation allowBlank="1" showInputMessage="1" showErrorMessage="1" promptTitle="Natureza de despesa detalhada" prompt="Informação gerada pela SOF. Para o preenchimento deve-se avaliar a classificação orçamentária informada no processo SEI do objeto " sqref="F6" xr:uid="{794C654E-D72D-4465-B43F-DE58B1E6D737}"/>
    <dataValidation allowBlank="1" showInputMessage="1" showErrorMessage="1" promptTitle="Plano orçamentário" prompt="Informação gerada pela SOF. Para o preenchimento é preciso avaliar a tabela contida no manual de utilização do formulário de captação de demandas" sqref="D6" xr:uid="{79B48FCA-1899-4107-AC55-05D81D2B09CA}"/>
    <dataValidation allowBlank="1" showInputMessage="1" showErrorMessage="1" promptTitle="Ação orçamentária" prompt="Informação gerada pela SOF. Para o preenchimento é preciso avaliar a tabela contida no manual de utilização do formulário de captação de demandas" sqref="C6" xr:uid="{65B15C50-9E1A-4DC9-B4FD-B4C318D75032}"/>
    <dataValidation type="list" allowBlank="1" showInputMessage="1" showErrorMessage="1" sqref="M7:N8 M20:N20 M23:N23" xr:uid="{C78625D7-7D5B-4ED2-A3E8-853CF44A39E7}">
      <formula1>"Sim, Não"</formula1>
    </dataValidation>
    <dataValidation type="list" allowBlank="1" showInputMessage="1" showErrorMessage="1" sqref="S7:S8 S20 S23" xr:uid="{5A69D0DD-DC61-4FC9-BA14-2F004F3F48B8}">
      <formula1>"Baixa, Média, Alta, n/a"</formula1>
    </dataValidation>
    <dataValidation type="list" allowBlank="1" showInputMessage="1" showErrorMessage="1" sqref="O7:O8 O20" xr:uid="{15C91255-3B3D-4D5D-BAF1-10185461254C}">
      <formula1>"Licitação, Prorrogação, Somente execução, Aquisição direta, n/a"</formula1>
    </dataValidation>
    <dataValidation allowBlank="1" showInputMessage="1" showErrorMessage="1" promptTitle="Item PCA" prompt="Não é necessário o preenchimento" sqref="B6" xr:uid="{868982AE-A247-47E5-8B52-CA021EFD7B79}"/>
    <dataValidation allowBlank="1" showInputMessage="1" showErrorMessage="1" promptTitle="Captação" prompt="Insira o orçamento necessário para atender a demanda no referente _x000a_exercício" sqref="I6" xr:uid="{2D7585EA-5629-44A9-B0EE-EFBC6E69DC79}"/>
    <dataValidation type="list" allowBlank="1" showInputMessage="1" showErrorMessage="1" sqref="O21 O23" xr:uid="{32960835-1866-45F3-ABAA-9C42A024ECAF}">
      <formula1>"Licitação, Contratação Direta, Prorrogação, Somente execução, Somente execução - Dispensa, Suprimento de fundos,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A1:M143"/>
  <sheetViews>
    <sheetView zoomScale="85" zoomScaleNormal="85" workbookViewId="0">
      <selection activeCell="E5" sqref="E5"/>
    </sheetView>
  </sheetViews>
  <sheetFormatPr defaultColWidth="0" defaultRowHeight="15" zeroHeight="1" x14ac:dyDescent="0.25"/>
  <cols>
    <col min="1" max="1" width="3.7109375" style="50" customWidth="1"/>
    <col min="2" max="2" width="29.5703125" style="50" bestFit="1" customWidth="1"/>
    <col min="3" max="5" width="23.85546875" style="50" bestFit="1" customWidth="1"/>
    <col min="6" max="6" width="21.5703125" style="50" customWidth="1"/>
    <col min="7" max="7" width="8.140625" style="50" customWidth="1"/>
    <col min="8" max="8" width="73" style="50" customWidth="1"/>
    <col min="9" max="9" width="18.7109375" style="50" customWidth="1"/>
    <col min="10" max="10" width="23.85546875" style="50" bestFit="1" customWidth="1"/>
    <col min="11" max="11" width="19" style="50" bestFit="1" customWidth="1"/>
    <col min="12" max="12" width="29.85546875" style="50" customWidth="1"/>
    <col min="13" max="13" width="5.85546875" style="50" customWidth="1"/>
    <col min="14" max="16384" width="9.140625" hidden="1"/>
  </cols>
  <sheetData>
    <row r="1" spans="2:12" ht="15.75" thickBot="1" x14ac:dyDescent="0.3"/>
    <row r="2" spans="2:12" ht="33.75" customHeight="1" thickBot="1" x14ac:dyDescent="0.3">
      <c r="B2" s="47" t="s">
        <v>769</v>
      </c>
      <c r="C2" s="47"/>
      <c r="D2" s="47"/>
      <c r="E2" s="47"/>
      <c r="F2" s="47"/>
      <c r="G2" s="47"/>
      <c r="H2" s="47"/>
      <c r="I2" s="47"/>
      <c r="J2" s="47"/>
      <c r="K2" s="47"/>
      <c r="L2" s="48"/>
    </row>
    <row r="3" spans="2:12" ht="15.75" thickBot="1" x14ac:dyDescent="0.3">
      <c r="B3" s="49"/>
      <c r="C3" s="49"/>
      <c r="D3" s="49"/>
      <c r="E3" s="49"/>
      <c r="F3" s="49"/>
      <c r="G3" s="49"/>
      <c r="H3" s="49"/>
      <c r="I3" s="49"/>
      <c r="J3" s="49"/>
      <c r="K3" s="49"/>
      <c r="L3" s="49"/>
    </row>
    <row r="4" spans="2:12" ht="15.75" thickBot="1" x14ac:dyDescent="0.3">
      <c r="B4" s="49"/>
      <c r="C4" s="84"/>
      <c r="D4" s="51">
        <f>D14-SUM(PCA!I:I)-SUM('Outras ações discricionárias'!I:I)+PCA!I5+'Outras ações discricionárias'!I5</f>
        <v>4.0978193283081055E-8</v>
      </c>
      <c r="E4" s="51">
        <f>SUM(E6:E13)-$J$6</f>
        <v>0</v>
      </c>
      <c r="F4" s="49"/>
      <c r="G4" s="49"/>
      <c r="H4" s="49"/>
      <c r="I4" s="51">
        <f>J6-I6</f>
        <v>0</v>
      </c>
      <c r="J4" s="51">
        <f>E14-J8-J9-J10-J11-J12-J13-J14-J15-J16-J17-J19-J20</f>
        <v>0</v>
      </c>
      <c r="K4" s="49"/>
      <c r="L4" s="49"/>
    </row>
    <row r="5" spans="2:12" ht="48" thickBot="1" x14ac:dyDescent="0.3">
      <c r="B5" s="90" t="s">
        <v>7</v>
      </c>
      <c r="C5" s="94"/>
      <c r="D5" s="53" t="s">
        <v>770</v>
      </c>
      <c r="E5" s="53" t="s">
        <v>771</v>
      </c>
      <c r="F5" s="54" t="s">
        <v>772</v>
      </c>
      <c r="G5" s="49"/>
      <c r="H5" s="55" t="s">
        <v>773</v>
      </c>
      <c r="I5" s="56" t="s">
        <v>774</v>
      </c>
      <c r="J5" s="57" t="s">
        <v>775</v>
      </c>
      <c r="K5" s="49"/>
      <c r="L5" s="58" t="s">
        <v>776</v>
      </c>
    </row>
    <row r="6" spans="2:12" ht="18" x14ac:dyDescent="0.25">
      <c r="B6" s="91" t="s">
        <v>556</v>
      </c>
      <c r="C6" s="95"/>
      <c r="D6" s="59">
        <f>SUMIF(PCA!G:G,'Resumo por unidade'!B6,PCA!I:I)+SUMIF('Outras ações discricionárias'!G:G,'Resumo por unidade'!B6,'Outras ações discricionárias'!I:I)</f>
        <v>2236740.7333333334</v>
      </c>
      <c r="E6" s="59">
        <f>1613047+203900+419794</f>
        <v>2236741</v>
      </c>
      <c r="F6" s="60">
        <f t="shared" ref="F6:F14" si="0">E6-D6</f>
        <v>0.2666666666045785</v>
      </c>
      <c r="G6" s="49"/>
      <c r="H6" s="61" t="s">
        <v>777</v>
      </c>
      <c r="I6" s="62">
        <f>+I7+I18</f>
        <v>180245069</v>
      </c>
      <c r="J6" s="63">
        <f>+J7+J18</f>
        <v>180245069</v>
      </c>
      <c r="K6" s="49"/>
      <c r="L6" s="103">
        <v>1650276</v>
      </c>
    </row>
    <row r="7" spans="2:12" ht="31.5" x14ac:dyDescent="0.25">
      <c r="B7" s="95" t="s">
        <v>24</v>
      </c>
      <c r="C7" s="95"/>
      <c r="D7" s="59">
        <f>SUMIF(PCA!G:G,'Resumo por unidade'!B7,PCA!I:I)+SUMIF('Outras ações discricionárias'!G:G,'Resumo por unidade'!B7,'Outras ações discricionárias'!I:I)</f>
        <v>68741553.61725837</v>
      </c>
      <c r="E7" s="64">
        <f>J8</f>
        <v>68741555</v>
      </c>
      <c r="F7" s="65">
        <f t="shared" si="0"/>
        <v>1.3827416300773621</v>
      </c>
      <c r="G7" s="49"/>
      <c r="H7" s="66" t="s">
        <v>778</v>
      </c>
      <c r="I7" s="67">
        <f>SUM(I8:I17)</f>
        <v>179621375</v>
      </c>
      <c r="J7" s="68">
        <f>SUM(J8:J17)</f>
        <v>179621375</v>
      </c>
      <c r="K7" s="49"/>
      <c r="L7" s="103">
        <v>1767680</v>
      </c>
    </row>
    <row r="8" spans="2:12" ht="18" x14ac:dyDescent="0.25">
      <c r="B8" s="95" t="s">
        <v>326</v>
      </c>
      <c r="C8" s="95"/>
      <c r="D8" s="59">
        <f>SUMIF(PCA!G:G,'Resumo por unidade'!B8,PCA!I:I)+SUMIF('Outras ações discricionárias'!G:G,'Resumo por unidade'!B8,'Outras ações discricionárias'!I:I)</f>
        <v>86222500.383516669</v>
      </c>
      <c r="E8" s="64">
        <f>J10+J11+J12</f>
        <v>86222501</v>
      </c>
      <c r="F8" s="65">
        <f t="shared" si="0"/>
        <v>0.61648333072662354</v>
      </c>
      <c r="G8" s="49"/>
      <c r="H8" s="69" t="s">
        <v>779</v>
      </c>
      <c r="I8" s="70">
        <v>65732763</v>
      </c>
      <c r="J8" s="71">
        <f>65732763+3063118-54326</f>
        <v>68741555</v>
      </c>
      <c r="K8" s="49"/>
      <c r="L8" s="103">
        <v>1781821</v>
      </c>
    </row>
    <row r="9" spans="2:12" ht="18" x14ac:dyDescent="0.25">
      <c r="B9" s="95" t="s">
        <v>572</v>
      </c>
      <c r="C9" s="95"/>
      <c r="D9" s="59">
        <f>SUMIF(PCA!G:G,'Resumo por unidade'!B9,PCA!I:I)+SUMIF('Outras ações discricionárias'!G:G,'Resumo por unidade'!B9,'Outras ações discricionárias'!I:I)</f>
        <v>9087522</v>
      </c>
      <c r="E9" s="64">
        <v>9087522</v>
      </c>
      <c r="F9" s="65">
        <f t="shared" si="0"/>
        <v>0</v>
      </c>
      <c r="G9" s="49"/>
      <c r="H9" s="69" t="s">
        <v>780</v>
      </c>
      <c r="I9" s="70">
        <v>4081996</v>
      </c>
      <c r="J9" s="71">
        <v>4081996</v>
      </c>
      <c r="K9" s="49"/>
      <c r="L9" s="103">
        <v>1824674</v>
      </c>
    </row>
    <row r="10" spans="2:12" ht="30" x14ac:dyDescent="0.25">
      <c r="B10" s="95" t="s">
        <v>754</v>
      </c>
      <c r="C10" s="95"/>
      <c r="D10" s="59">
        <f>SUMIF(PCA!G:G,'Resumo por unidade'!B10,PCA!I:I)+SUMIF('Outras ações discricionárias'!G:G,'Resumo por unidade'!B10,'Outras ações discricionárias'!I:I)</f>
        <v>6687398</v>
      </c>
      <c r="E10" s="64">
        <v>6687398</v>
      </c>
      <c r="F10" s="65">
        <f t="shared" si="0"/>
        <v>0</v>
      </c>
      <c r="G10" s="49"/>
      <c r="H10" s="69" t="s">
        <v>781</v>
      </c>
      <c r="I10" s="70">
        <v>79288527</v>
      </c>
      <c r="J10" s="71">
        <f>79288527-3063118+2318861</f>
        <v>78544270</v>
      </c>
      <c r="K10" s="49"/>
      <c r="L10" s="49"/>
    </row>
    <row r="11" spans="2:12" ht="30" x14ac:dyDescent="0.25">
      <c r="B11" s="95" t="s">
        <v>320</v>
      </c>
      <c r="C11" s="95"/>
      <c r="D11" s="59">
        <f>SUMIF(PCA!G:G,'Resumo por unidade'!B11,PCA!I:I)+SUMIF('Outras ações discricionárias'!G:G,'Resumo por unidade'!B11,'Outras ações discricionárias'!I:I)</f>
        <v>4081996</v>
      </c>
      <c r="E11" s="64">
        <v>4081996</v>
      </c>
      <c r="F11" s="65">
        <f t="shared" si="0"/>
        <v>0</v>
      </c>
      <c r="G11" s="49"/>
      <c r="H11" s="69" t="s">
        <v>782</v>
      </c>
      <c r="I11" s="70">
        <v>2798626</v>
      </c>
      <c r="J11" s="71">
        <v>2798626</v>
      </c>
      <c r="K11" s="49"/>
      <c r="L11" s="49"/>
    </row>
    <row r="12" spans="2:12" ht="18" x14ac:dyDescent="0.25">
      <c r="B12" s="95" t="s">
        <v>527</v>
      </c>
      <c r="C12" s="95"/>
      <c r="D12" s="59">
        <f>SUMIF(PCA!G:G,'Resumo por unidade'!B12,PCA!I:I)+SUMIF('Outras ações discricionárias'!G:G,'Resumo por unidade'!B12,'Outras ações discricionárias'!I:I)</f>
        <v>2170943.86</v>
      </c>
      <c r="E12" s="64">
        <f>J13</f>
        <v>2170945</v>
      </c>
      <c r="F12" s="65">
        <f t="shared" si="0"/>
        <v>1.1400000001303852</v>
      </c>
      <c r="G12" s="49"/>
      <c r="H12" s="69" t="s">
        <v>783</v>
      </c>
      <c r="I12" s="70">
        <v>7198466</v>
      </c>
      <c r="J12" s="71">
        <f>7198466-2318861</f>
        <v>4879605</v>
      </c>
      <c r="K12" s="49"/>
      <c r="L12" s="49"/>
    </row>
    <row r="13" spans="2:12" ht="18.75" thickBot="1" x14ac:dyDescent="0.3">
      <c r="B13" s="95" t="s">
        <v>562</v>
      </c>
      <c r="C13" s="95"/>
      <c r="D13" s="59">
        <f>SUMIF(PCA!G:G,'Resumo por unidade'!B13,PCA!I:I)+SUMIF('Outras ações discricionárias'!G:G,'Resumo por unidade'!B13,'Outras ações discricionárias'!I:I)</f>
        <v>1016410.9400000001</v>
      </c>
      <c r="E13" s="64">
        <v>1016411</v>
      </c>
      <c r="F13" s="65">
        <f t="shared" si="0"/>
        <v>5.9999999939464033E-2</v>
      </c>
      <c r="G13" s="49"/>
      <c r="H13" s="69" t="s">
        <v>784</v>
      </c>
      <c r="I13" s="70">
        <v>2116619</v>
      </c>
      <c r="J13" s="71">
        <f>2116619+54326</f>
        <v>2170945</v>
      </c>
      <c r="K13" s="49"/>
      <c r="L13" s="49"/>
    </row>
    <row r="14" spans="2:12" ht="30.75" thickBot="1" x14ac:dyDescent="0.3">
      <c r="B14" s="94" t="s">
        <v>785</v>
      </c>
      <c r="C14" s="94"/>
      <c r="D14" s="72">
        <f>SUM(D6:D13)</f>
        <v>180245065.5341084</v>
      </c>
      <c r="E14" s="72">
        <f>SUM(E6:E13)</f>
        <v>180245069</v>
      </c>
      <c r="F14" s="73">
        <f t="shared" si="0"/>
        <v>3.4658915996551514</v>
      </c>
      <c r="G14" s="49"/>
      <c r="H14" s="69" t="s">
        <v>786</v>
      </c>
      <c r="I14" s="70">
        <v>1613047</v>
      </c>
      <c r="J14" s="71">
        <v>1613047</v>
      </c>
      <c r="K14" s="49"/>
      <c r="L14" s="49"/>
    </row>
    <row r="15" spans="2:12" ht="30.75" thickBot="1" x14ac:dyDescent="0.3">
      <c r="B15" s="49"/>
      <c r="C15" s="49"/>
      <c r="D15" s="49"/>
      <c r="E15" s="49"/>
      <c r="F15" s="49"/>
      <c r="G15" s="49"/>
      <c r="H15" s="69" t="s">
        <v>787</v>
      </c>
      <c r="I15" s="70">
        <v>1016411</v>
      </c>
      <c r="J15" s="71">
        <v>1016411</v>
      </c>
      <c r="K15" s="49"/>
      <c r="L15" s="49"/>
    </row>
    <row r="16" spans="2:12" ht="30.75" thickBot="1" x14ac:dyDescent="0.3">
      <c r="B16" s="49"/>
      <c r="C16" s="49"/>
      <c r="D16" s="51">
        <f>SUM(D18:D29)-SUM(PCA!I:I)-SUM('Outras ações discricionárias'!I:I)+PCA!I5+'Outras ações discricionárias'!I5</f>
        <v>0</v>
      </c>
      <c r="E16" s="51">
        <f>SUM(E18:E29)-$J$6</f>
        <v>0</v>
      </c>
      <c r="F16" s="49"/>
      <c r="G16" s="49"/>
      <c r="H16" s="69" t="s">
        <v>788</v>
      </c>
      <c r="I16" s="70">
        <v>6687398</v>
      </c>
      <c r="J16" s="71">
        <v>6687398</v>
      </c>
      <c r="K16" s="49"/>
      <c r="L16" s="49"/>
    </row>
    <row r="17" spans="2:11" ht="18.75" thickBot="1" x14ac:dyDescent="0.3">
      <c r="B17" s="90" t="s">
        <v>4</v>
      </c>
      <c r="C17" s="90"/>
      <c r="D17" s="88" t="s">
        <v>770</v>
      </c>
      <c r="E17" s="89" t="s">
        <v>771</v>
      </c>
      <c r="F17" s="54" t="s">
        <v>772</v>
      </c>
      <c r="G17" s="49"/>
      <c r="H17" s="69" t="s">
        <v>789</v>
      </c>
      <c r="I17" s="70">
        <v>9087522</v>
      </c>
      <c r="J17" s="71">
        <v>9087522</v>
      </c>
      <c r="K17" s="49"/>
    </row>
    <row r="18" spans="2:11" ht="18" x14ac:dyDescent="0.25">
      <c r="B18" s="91" t="s">
        <v>22</v>
      </c>
      <c r="C18" s="91"/>
      <c r="D18" s="59">
        <f>SUMIFS(PCA!$I:$I,PCA!$D:$D,B:B)+SUMIFS('Outras ações discricionárias'!$I:$I,'Outras ações discricionárias'!$D:$D,B:B)</f>
        <v>68741553.61725837</v>
      </c>
      <c r="E18" s="59">
        <f>J8</f>
        <v>68741555</v>
      </c>
      <c r="F18" s="60">
        <f t="shared" ref="F18:F29" si="1">E18-D18</f>
        <v>1.3827416300773621</v>
      </c>
      <c r="G18" s="49"/>
      <c r="H18" s="66" t="s">
        <v>790</v>
      </c>
      <c r="I18" s="74">
        <f>+I19+I20</f>
        <v>623694</v>
      </c>
      <c r="J18" s="75">
        <f>+J19+J20</f>
        <v>623694</v>
      </c>
      <c r="K18" s="49"/>
    </row>
    <row r="19" spans="2:11" ht="30" x14ac:dyDescent="0.25">
      <c r="B19" s="91" t="s">
        <v>318</v>
      </c>
      <c r="C19" s="91"/>
      <c r="D19" s="59">
        <f>SUMIFS(PCA!$I:$I,PCA!$D:$D,B:B)+SUMIFS('Outras ações discricionárias'!$I:$I,'Outras ações discricionárias'!$D:$D,B:B)</f>
        <v>4081996</v>
      </c>
      <c r="E19" s="59">
        <v>4081996</v>
      </c>
      <c r="F19" s="60">
        <f t="shared" si="1"/>
        <v>0</v>
      </c>
      <c r="G19" s="49"/>
      <c r="H19" s="69" t="s">
        <v>791</v>
      </c>
      <c r="I19" s="70">
        <v>203900</v>
      </c>
      <c r="J19" s="71">
        <v>203900</v>
      </c>
      <c r="K19" s="49"/>
    </row>
    <row r="20" spans="2:11" ht="18.75" thickBot="1" x14ac:dyDescent="0.3">
      <c r="B20" s="91" t="s">
        <v>324</v>
      </c>
      <c r="C20" s="91"/>
      <c r="D20" s="59">
        <f>SUMIFS(PCA!$I:$I,PCA!$D:$D,B:B)+SUMIFS('Outras ações discricionárias'!$I:$I,'Outras ações discricionárias'!$D:$D,B:B)</f>
        <v>79212460.383516684</v>
      </c>
      <c r="E20" s="59">
        <f>79288527-3063118+2318861</f>
        <v>78544270</v>
      </c>
      <c r="F20" s="60">
        <f t="shared" si="1"/>
        <v>-668190.38351668417</v>
      </c>
      <c r="G20" s="49"/>
      <c r="H20" s="76" t="s">
        <v>792</v>
      </c>
      <c r="I20" s="77">
        <v>419794</v>
      </c>
      <c r="J20" s="78">
        <v>419794</v>
      </c>
      <c r="K20" s="49"/>
    </row>
    <row r="21" spans="2:11" ht="15.75" thickBot="1" x14ac:dyDescent="0.3">
      <c r="B21" s="91" t="s">
        <v>690</v>
      </c>
      <c r="C21" s="91"/>
      <c r="D21" s="59">
        <f>SUMIFS(PCA!$I:$I,PCA!$D:$D,B:B)+SUMIFS('Outras ações discricionárias'!$I:$I,'Outras ações discricionárias'!$D:$D,B:B)</f>
        <v>2798626</v>
      </c>
      <c r="E21" s="59">
        <v>2798626</v>
      </c>
      <c r="F21" s="60">
        <f t="shared" si="1"/>
        <v>0</v>
      </c>
      <c r="G21" s="49"/>
      <c r="H21" s="49"/>
      <c r="I21" s="49"/>
      <c r="J21" s="49"/>
      <c r="K21" s="49"/>
    </row>
    <row r="22" spans="2:11" ht="15.75" thickBot="1" x14ac:dyDescent="0.3">
      <c r="B22" s="91" t="s">
        <v>482</v>
      </c>
      <c r="C22" s="91"/>
      <c r="D22" s="59">
        <f>SUMIFS(PCA!$I:$I,PCA!$D:$D,B:B)+SUMIFS('Outras ações discricionárias'!$I:$I,'Outras ações discricionárias'!$D:$D,B:B)</f>
        <v>4211414</v>
      </c>
      <c r="E22" s="59">
        <f>7198466-2318861</f>
        <v>4879605</v>
      </c>
      <c r="F22" s="60">
        <f t="shared" si="1"/>
        <v>668191</v>
      </c>
      <c r="G22" s="49"/>
      <c r="H22" s="49"/>
      <c r="I22" s="51">
        <f>SUMIF(PCA!T:T,"&lt;&gt;",PCA!I:I)-SUM(I24:I192)</f>
        <v>0</v>
      </c>
      <c r="J22" s="49"/>
      <c r="K22" s="49"/>
    </row>
    <row r="23" spans="2:11" ht="16.5" thickBot="1" x14ac:dyDescent="0.3">
      <c r="B23" s="91" t="s">
        <v>526</v>
      </c>
      <c r="C23" s="91"/>
      <c r="D23" s="59">
        <f>SUMIFS(PCA!$I:$I,PCA!$D:$D,B:B)+SUMIFS('Outras ações discricionárias'!$I:$I,'Outras ações discricionárias'!$D:$D,B:B)</f>
        <v>2170943.86</v>
      </c>
      <c r="E23" s="59">
        <f>J13</f>
        <v>2170945</v>
      </c>
      <c r="F23" s="60">
        <f t="shared" si="1"/>
        <v>1.1400000001303852</v>
      </c>
      <c r="G23" s="49"/>
      <c r="H23" s="52" t="s">
        <v>793</v>
      </c>
      <c r="I23" s="53" t="s">
        <v>770</v>
      </c>
      <c r="J23" s="53" t="s">
        <v>771</v>
      </c>
      <c r="K23" s="54" t="s">
        <v>772</v>
      </c>
    </row>
    <row r="24" spans="2:11" x14ac:dyDescent="0.25">
      <c r="B24" s="91" t="s">
        <v>555</v>
      </c>
      <c r="C24" s="91"/>
      <c r="D24" s="59">
        <f>SUMIFS(PCA!$I:$I,PCA!$D:$D,B:B)+SUMIFS('Outras ações discricionárias'!$I:$I,'Outras ações discricionárias'!$D:$D,B:B)</f>
        <v>1613046.7333333332</v>
      </c>
      <c r="E24" s="59">
        <v>1613047</v>
      </c>
      <c r="F24" s="60">
        <f t="shared" si="1"/>
        <v>0.26666666683740914</v>
      </c>
      <c r="G24" s="49"/>
      <c r="H24" s="85" t="s">
        <v>794</v>
      </c>
      <c r="I24" s="59">
        <f>SUMIF(PCA!T:T,'Resumo por unidade'!H24,PCA!I:I)</f>
        <v>7938</v>
      </c>
      <c r="J24" s="59">
        <v>59906.02</v>
      </c>
      <c r="K24" s="60">
        <f t="shared" ref="K24" si="2">J24-I24</f>
        <v>51968.02</v>
      </c>
    </row>
    <row r="25" spans="2:11" x14ac:dyDescent="0.25">
      <c r="B25" s="91" t="s">
        <v>561</v>
      </c>
      <c r="C25" s="91"/>
      <c r="D25" s="59">
        <f>SUMIFS(PCA!$I:$I,PCA!$D:$D,B:B)+SUMIFS('Outras ações discricionárias'!$I:$I,'Outras ações discricionárias'!$D:$D,B:B)</f>
        <v>1016410.9400000001</v>
      </c>
      <c r="E25" s="59">
        <v>1016411</v>
      </c>
      <c r="F25" s="60">
        <f t="shared" si="1"/>
        <v>5.9999999939464033E-2</v>
      </c>
      <c r="G25" s="49"/>
      <c r="H25" s="85" t="s">
        <v>814</v>
      </c>
      <c r="I25" s="59">
        <f>SUMIF(PCA!T:T,'Resumo por unidade'!H25,PCA!I:I)</f>
        <v>4840.71</v>
      </c>
      <c r="J25" s="59">
        <v>59906.02</v>
      </c>
      <c r="K25" s="60">
        <f t="shared" ref="K25" si="3">J25-I25</f>
        <v>55065.31</v>
      </c>
    </row>
    <row r="26" spans="2:11" x14ac:dyDescent="0.25">
      <c r="B26" s="91" t="s">
        <v>753</v>
      </c>
      <c r="C26" s="91"/>
      <c r="D26" s="59">
        <f>SUMIFS(PCA!$I:$I,PCA!$D:$D,B:B)+SUMIFS('Outras ações discricionárias'!$I:$I,'Outras ações discricionárias'!$D:$D,B:B)</f>
        <v>6687398</v>
      </c>
      <c r="E26" s="59">
        <v>6687398</v>
      </c>
      <c r="F26" s="60">
        <f t="shared" si="1"/>
        <v>0</v>
      </c>
      <c r="G26" s="49"/>
      <c r="H26" s="85" t="s">
        <v>670</v>
      </c>
      <c r="I26" s="59">
        <f>SUMIF(PCA!T:T,'Resumo por unidade'!H26,PCA!I:I)</f>
        <v>0</v>
      </c>
      <c r="J26" s="59">
        <v>59906.02</v>
      </c>
      <c r="K26" s="60">
        <f>J26-I26</f>
        <v>59906.02</v>
      </c>
    </row>
    <row r="27" spans="2:11" x14ac:dyDescent="0.25">
      <c r="B27" s="91" t="s">
        <v>571</v>
      </c>
      <c r="C27" s="91"/>
      <c r="D27" s="59">
        <f>SUMIFS(PCA!$I:$I,PCA!$D:$D,B:B)+SUMIFS('Outras ações discricionárias'!$I:$I,'Outras ações discricionárias'!$D:$D,B:B)</f>
        <v>9087522</v>
      </c>
      <c r="E27" s="59">
        <v>9087522</v>
      </c>
      <c r="F27" s="60">
        <f t="shared" si="1"/>
        <v>0</v>
      </c>
      <c r="G27" s="49"/>
      <c r="H27" s="85" t="s">
        <v>843</v>
      </c>
      <c r="I27" s="59">
        <f>SUMIF(PCA!T:T,'Resumo por unidade'!H27,PCA!I:I)</f>
        <v>42094</v>
      </c>
      <c r="J27" s="59">
        <v>59906.02</v>
      </c>
      <c r="K27" s="60">
        <f>J27-I27</f>
        <v>17812.019999999997</v>
      </c>
    </row>
    <row r="28" spans="2:11" x14ac:dyDescent="0.25">
      <c r="B28" s="91" t="s">
        <v>757</v>
      </c>
      <c r="C28" s="91"/>
      <c r="D28" s="59">
        <f>SUMIFS(PCA!$I:$I,PCA!$D:$D,B:B)+SUMIFS('Outras ações discricionárias'!$I:$I,'Outras ações discricionárias'!$D:$D,B:B)</f>
        <v>203900</v>
      </c>
      <c r="E28" s="59">
        <v>203900</v>
      </c>
      <c r="F28" s="60">
        <f t="shared" si="1"/>
        <v>0</v>
      </c>
      <c r="G28" s="49"/>
      <c r="H28" s="85" t="s">
        <v>296</v>
      </c>
      <c r="I28" s="59">
        <f>SUMIF(PCA!T:T,'Resumo por unidade'!H28,PCA!I:I)</f>
        <v>32401</v>
      </c>
      <c r="J28" s="59">
        <v>59906.02</v>
      </c>
      <c r="K28" s="60">
        <f t="shared" ref="K28:K122" si="4">J28-I28</f>
        <v>27505.019999999997</v>
      </c>
    </row>
    <row r="29" spans="2:11" x14ac:dyDescent="0.25">
      <c r="B29" s="91" t="s">
        <v>759</v>
      </c>
      <c r="C29" s="91"/>
      <c r="D29" s="59">
        <f>SUMIFS(PCA!$I:$I,PCA!$D:$D,B:B)+SUMIFS('Outras ações discricionárias'!$I:$I,'Outras ações discricionárias'!$D:$D,B:B)</f>
        <v>419794</v>
      </c>
      <c r="E29" s="59">
        <v>419794</v>
      </c>
      <c r="F29" s="60">
        <f t="shared" si="1"/>
        <v>0</v>
      </c>
      <c r="G29" s="49"/>
      <c r="H29" s="85" t="s">
        <v>807</v>
      </c>
      <c r="I29" s="59">
        <f>SUMIF(PCA!T:T,'Resumo por unidade'!H29,PCA!I:I)</f>
        <v>0</v>
      </c>
      <c r="J29" s="59">
        <v>59906.02</v>
      </c>
      <c r="K29" s="60">
        <f t="shared" ref="K29" si="5">J29-I29</f>
        <v>59906.02</v>
      </c>
    </row>
    <row r="30" spans="2:11" x14ac:dyDescent="0.25">
      <c r="B30" s="84"/>
      <c r="C30" s="84"/>
      <c r="D30" s="84"/>
      <c r="E30" s="84"/>
      <c r="F30" s="84"/>
      <c r="G30" s="49"/>
      <c r="H30" s="85" t="s">
        <v>212</v>
      </c>
      <c r="I30" s="59">
        <f>SUMIF(PCA!T:T,'Resumo por unidade'!H30,PCA!I:I)</f>
        <v>6000</v>
      </c>
      <c r="J30" s="59">
        <v>59906.02</v>
      </c>
      <c r="K30" s="60">
        <f t="shared" ref="K30" si="6">J30-I30</f>
        <v>53906.02</v>
      </c>
    </row>
    <row r="31" spans="2:11" ht="15.75" thickBot="1" x14ac:dyDescent="0.3">
      <c r="B31" s="84"/>
      <c r="C31" s="84"/>
      <c r="D31" s="84"/>
      <c r="E31" s="84"/>
      <c r="F31" s="84"/>
      <c r="G31" s="49"/>
      <c r="H31" s="85" t="s">
        <v>795</v>
      </c>
      <c r="I31" s="59">
        <f>SUMIF(PCA!T:T,'Resumo por unidade'!H31,PCA!I:I)</f>
        <v>0</v>
      </c>
      <c r="J31" s="59">
        <v>59906.02</v>
      </c>
      <c r="K31" s="60">
        <f t="shared" si="4"/>
        <v>59906.02</v>
      </c>
    </row>
    <row r="32" spans="2:11" ht="15.75" thickBot="1" x14ac:dyDescent="0.3">
      <c r="B32" s="49"/>
      <c r="C32" s="49"/>
      <c r="D32" s="51">
        <f>SUM(D34:D57)-SUM(PCA!I:I)-SUM('Outras ações discricionárias'!I:I)+PCA!I5+'Outras ações discricionárias'!I5</f>
        <v>4.0978193283081055E-8</v>
      </c>
      <c r="E32" s="51">
        <f>SUM(E34:E57)-$J$6</f>
        <v>0</v>
      </c>
      <c r="F32" s="49"/>
      <c r="G32" s="49"/>
      <c r="H32" s="85" t="s">
        <v>831</v>
      </c>
      <c r="I32" s="59">
        <f>SUMIF(PCA!T:T,'Resumo por unidade'!H32,PCA!I:I)</f>
        <v>353956.75</v>
      </c>
      <c r="J32" s="59">
        <v>59906.02</v>
      </c>
      <c r="K32" s="60">
        <f t="shared" ref="K32" si="7">J32-I32</f>
        <v>-294050.73</v>
      </c>
    </row>
    <row r="33" spans="2:11" ht="16.5" thickBot="1" x14ac:dyDescent="0.3">
      <c r="B33" s="90" t="s">
        <v>4</v>
      </c>
      <c r="C33" s="88" t="s">
        <v>797</v>
      </c>
      <c r="D33" s="88" t="s">
        <v>770</v>
      </c>
      <c r="E33" s="89" t="s">
        <v>771</v>
      </c>
      <c r="F33" s="54" t="s">
        <v>772</v>
      </c>
      <c r="G33" s="49"/>
      <c r="H33" s="85" t="s">
        <v>813</v>
      </c>
      <c r="I33" s="59">
        <f>SUMIF(PCA!T:T,'Resumo por unidade'!H33,PCA!I:I)</f>
        <v>49904.800000000003</v>
      </c>
      <c r="J33" s="59">
        <v>59906.02</v>
      </c>
      <c r="K33" s="60">
        <f t="shared" ref="K33" si="8">J33-I33</f>
        <v>10001.219999999994</v>
      </c>
    </row>
    <row r="34" spans="2:11" x14ac:dyDescent="0.25">
      <c r="B34" s="91" t="s">
        <v>22</v>
      </c>
      <c r="C34" s="91">
        <v>3</v>
      </c>
      <c r="D34" s="59">
        <f>SUMIFS(PCA!$I:$I,PCA!$D:$D,B:B,PCA!$E:$E,C:C)+SUMIFS('Outras ações discricionárias'!$I:$I,'Outras ações discricionárias'!$D:$D,B:B,'Outras ações discricionárias'!$E:$E,C:C)</f>
        <v>68088005.267258376</v>
      </c>
      <c r="E34" s="59">
        <f>65079214+3063118-54326</f>
        <v>68088006</v>
      </c>
      <c r="F34" s="60">
        <f t="shared" ref="F34:F56" si="9">E34-D34</f>
        <v>0.73274162411689758</v>
      </c>
      <c r="G34" s="49"/>
      <c r="H34" s="85" t="s">
        <v>683</v>
      </c>
      <c r="I34" s="59">
        <f>SUMIF(PCA!T:T,'Resumo por unidade'!H34,PCA!I:I)</f>
        <v>10000</v>
      </c>
      <c r="J34" s="59">
        <v>59906.02</v>
      </c>
      <c r="K34" s="60">
        <f t="shared" si="4"/>
        <v>49906.02</v>
      </c>
    </row>
    <row r="35" spans="2:11" x14ac:dyDescent="0.25">
      <c r="B35" s="91" t="s">
        <v>22</v>
      </c>
      <c r="C35" s="91">
        <v>4</v>
      </c>
      <c r="D35" s="59">
        <f>SUMIFS(PCA!$I:$I,PCA!$D:$D,B:B,PCA!$E:$E,C:C)+SUMIFS('Outras ações discricionárias'!$I:$I,'Outras ações discricionárias'!$D:$D,B:B,'Outras ações discricionárias'!$E:$E,C:C)</f>
        <v>653548.34999999986</v>
      </c>
      <c r="E35" s="59">
        <v>653549</v>
      </c>
      <c r="F35" s="60">
        <f t="shared" si="9"/>
        <v>0.65000000013969839</v>
      </c>
      <c r="G35" s="49"/>
      <c r="H35" s="85" t="s">
        <v>667</v>
      </c>
      <c r="I35" s="59">
        <f>SUMIF(PCA!T:T,'Resumo por unidade'!H35,PCA!I:I)</f>
        <v>28044</v>
      </c>
      <c r="J35" s="59">
        <v>59906.02</v>
      </c>
      <c r="K35" s="60">
        <f>J35-I35</f>
        <v>31862.019999999997</v>
      </c>
    </row>
    <row r="36" spans="2:11" x14ac:dyDescent="0.25">
      <c r="B36" s="91" t="s">
        <v>318</v>
      </c>
      <c r="C36" s="91">
        <v>3</v>
      </c>
      <c r="D36" s="59">
        <f>SUMIFS(PCA!$I:$I,PCA!$D:$D,B:B,PCA!$E:$E,C:C)+SUMIFS('Outras ações discricionárias'!$I:$I,'Outras ações discricionárias'!$D:$D,B:B,'Outras ações discricionárias'!$E:$E,C:C)</f>
        <v>4081996</v>
      </c>
      <c r="E36" s="59">
        <v>4081996</v>
      </c>
      <c r="F36" s="60">
        <f t="shared" si="9"/>
        <v>0</v>
      </c>
      <c r="G36" s="49"/>
      <c r="H36" s="85" t="s">
        <v>132</v>
      </c>
      <c r="I36" s="59">
        <f>SUMIF(PCA!T:T,'Resumo por unidade'!H36,PCA!I:I)</f>
        <v>96322.568333333329</v>
      </c>
      <c r="J36" s="59">
        <v>59906.02</v>
      </c>
      <c r="K36" s="60">
        <f t="shared" si="4"/>
        <v>-36416.548333333332</v>
      </c>
    </row>
    <row r="37" spans="2:11" x14ac:dyDescent="0.25">
      <c r="B37" s="91" t="s">
        <v>318</v>
      </c>
      <c r="C37" s="91">
        <v>4</v>
      </c>
      <c r="D37" s="59">
        <f>SUMIFS(PCA!$I:$I,PCA!$D:$D,B:B,PCA!$E:$E,C:C)+SUMIFS('Outras ações discricionárias'!$I:$I,'Outras ações discricionárias'!$D:$D,B:B,'Outras ações discricionárias'!$E:$E,C:C)</f>
        <v>0</v>
      </c>
      <c r="E37" s="59">
        <v>0</v>
      </c>
      <c r="F37" s="60">
        <f t="shared" si="9"/>
        <v>0</v>
      </c>
      <c r="G37" s="49"/>
      <c r="H37" s="85" t="s">
        <v>796</v>
      </c>
      <c r="I37" s="59">
        <f>SUMIF(PCA!T:T,'Resumo por unidade'!H37,PCA!I:I)</f>
        <v>0</v>
      </c>
      <c r="J37" s="59">
        <v>59906.02</v>
      </c>
      <c r="K37" s="60">
        <f t="shared" si="4"/>
        <v>59906.02</v>
      </c>
    </row>
    <row r="38" spans="2:11" x14ac:dyDescent="0.25">
      <c r="B38" s="91" t="s">
        <v>324</v>
      </c>
      <c r="C38" s="91">
        <v>3</v>
      </c>
      <c r="D38" s="59">
        <f>SUMIFS(PCA!$I:$I,PCA!$D:$D,B:B,PCA!$E:$E,C:C)+SUMIFS('Outras ações discricionárias'!$I:$I,'Outras ações discricionárias'!$D:$D,B:B,'Outras ações discricionárias'!$E:$E,C:C)</f>
        <v>65752065.983516678</v>
      </c>
      <c r="E38" s="59">
        <f>76053115-3063118</f>
        <v>72989997</v>
      </c>
      <c r="F38" s="60">
        <f t="shared" si="9"/>
        <v>7237931.0164833218</v>
      </c>
      <c r="G38" s="49"/>
      <c r="H38" s="85" t="s">
        <v>893</v>
      </c>
      <c r="I38" s="59">
        <f>SUMIF(PCA!T:T,'Resumo por unidade'!H38,PCA!I:I)</f>
        <v>6961.33</v>
      </c>
      <c r="J38" s="59">
        <v>59906.02</v>
      </c>
      <c r="K38" s="60">
        <f>J38-I38</f>
        <v>52944.689999999995</v>
      </c>
    </row>
    <row r="39" spans="2:11" x14ac:dyDescent="0.25">
      <c r="B39" s="91" t="s">
        <v>324</v>
      </c>
      <c r="C39" s="91">
        <v>4</v>
      </c>
      <c r="D39" s="59">
        <f>SUMIFS(PCA!$I:$I,PCA!$D:$D,B:B,PCA!$E:$E,C:C)+SUMIFS('Outras ações discricionárias'!$I:$I,'Outras ações discricionárias'!$D:$D,B:B,'Outras ações discricionárias'!$E:$E,C:C)</f>
        <v>13460394.4</v>
      </c>
      <c r="E39" s="59">
        <f>3235412+2318861</f>
        <v>5554273</v>
      </c>
      <c r="F39" s="60">
        <f t="shared" si="9"/>
        <v>-7906121.4000000004</v>
      </c>
      <c r="G39" s="49"/>
      <c r="H39" s="92" t="s">
        <v>868</v>
      </c>
      <c r="I39" s="59">
        <f>SUMIF(PCA!T:T,'Resumo por unidade'!H39,PCA!I:I)</f>
        <v>5000</v>
      </c>
      <c r="J39" s="59">
        <v>59906.02</v>
      </c>
      <c r="K39" s="60">
        <f t="shared" ref="K39" si="10">J39-I39</f>
        <v>54906.02</v>
      </c>
    </row>
    <row r="40" spans="2:11" x14ac:dyDescent="0.25">
      <c r="B40" s="91" t="s">
        <v>690</v>
      </c>
      <c r="C40" s="91">
        <v>3</v>
      </c>
      <c r="D40" s="59">
        <f>SUMIFS(PCA!$I:$I,PCA!$D:$D,B:B,PCA!$E:$E,C:C)+SUMIFS('Outras ações discricionárias'!$I:$I,'Outras ações discricionárias'!$D:$D,B:B,'Outras ações discricionárias'!$E:$E,C:C)</f>
        <v>2798626</v>
      </c>
      <c r="E40" s="59">
        <v>2798626</v>
      </c>
      <c r="F40" s="60">
        <f t="shared" si="9"/>
        <v>0</v>
      </c>
      <c r="G40" s="49"/>
      <c r="H40" s="85" t="s">
        <v>826</v>
      </c>
      <c r="I40" s="59">
        <f>SUMIF(PCA!T:T,'Resumo por unidade'!H40,PCA!I:I)</f>
        <v>12000</v>
      </c>
      <c r="J40" s="59">
        <v>59906.02</v>
      </c>
      <c r="K40" s="60">
        <f>J40-I40</f>
        <v>47906.02</v>
      </c>
    </row>
    <row r="41" spans="2:11" x14ac:dyDescent="0.25">
      <c r="B41" s="91" t="s">
        <v>690</v>
      </c>
      <c r="C41" s="91">
        <v>4</v>
      </c>
      <c r="D41" s="59">
        <f>SUMIFS(PCA!$I:$I,PCA!$D:$D,B:B,PCA!$E:$E,C:C)+SUMIFS('Outras ações discricionárias'!$I:$I,'Outras ações discricionárias'!$D:$D,B:B,'Outras ações discricionárias'!$E:$E,C:C)</f>
        <v>0</v>
      </c>
      <c r="E41" s="59">
        <v>0</v>
      </c>
      <c r="F41" s="60">
        <f t="shared" si="9"/>
        <v>0</v>
      </c>
      <c r="G41" s="49"/>
      <c r="H41" s="85" t="s">
        <v>480</v>
      </c>
      <c r="I41" s="59">
        <f>SUMIF(PCA!T:T,'Resumo por unidade'!H41,PCA!I:I)</f>
        <v>3278965</v>
      </c>
      <c r="J41" s="59">
        <v>59906.02</v>
      </c>
      <c r="K41" s="60">
        <f t="shared" si="4"/>
        <v>-3219058.98</v>
      </c>
    </row>
    <row r="42" spans="2:11" x14ac:dyDescent="0.25">
      <c r="B42" s="91" t="s">
        <v>482</v>
      </c>
      <c r="C42" s="91">
        <v>3</v>
      </c>
      <c r="D42" s="59">
        <f>SUMIFS(PCA!$I:$I,PCA!$D:$D,B:B,PCA!$E:$E,C:C)+SUMIFS('Outras ações discricionárias'!$I:$I,'Outras ações discricionárias'!$D:$D,B:B,'Outras ações discricionárias'!$E:$E,C:C)</f>
        <v>4211414</v>
      </c>
      <c r="E42" s="59">
        <v>4879605</v>
      </c>
      <c r="F42" s="60">
        <f t="shared" si="9"/>
        <v>668191</v>
      </c>
      <c r="G42" s="49"/>
      <c r="H42" s="85" t="s">
        <v>891</v>
      </c>
      <c r="I42" s="59">
        <f>SUMIF(PCA!T:T,'Resumo por unidade'!H42,PCA!I:I)</f>
        <v>0</v>
      </c>
      <c r="J42" s="59">
        <v>59906.02</v>
      </c>
      <c r="K42" s="60">
        <f>J42-I42</f>
        <v>59906.02</v>
      </c>
    </row>
    <row r="43" spans="2:11" x14ac:dyDescent="0.25">
      <c r="B43" s="91" t="s">
        <v>482</v>
      </c>
      <c r="C43" s="91">
        <v>4</v>
      </c>
      <c r="D43" s="59">
        <f>SUMIFS(PCA!$I:$I,PCA!$D:$D,B:B,PCA!$E:$E,C:C)+SUMIFS('Outras ações discricionárias'!$I:$I,'Outras ações discricionárias'!$D:$D,B:B,'Outras ações discricionárias'!$E:$E,C:C)</f>
        <v>0</v>
      </c>
      <c r="E43" s="59">
        <f>2318861-2318861</f>
        <v>0</v>
      </c>
      <c r="F43" s="60">
        <f t="shared" si="9"/>
        <v>0</v>
      </c>
      <c r="G43" s="49"/>
      <c r="H43" s="85" t="s">
        <v>127</v>
      </c>
      <c r="I43" s="59">
        <f>SUMIF(PCA!T:T,'Resumo por unidade'!H43,PCA!I:I)</f>
        <v>5451.3256000000001</v>
      </c>
      <c r="J43" s="59">
        <v>59906.02</v>
      </c>
      <c r="K43" s="60">
        <f t="shared" si="4"/>
        <v>54454.694399999993</v>
      </c>
    </row>
    <row r="44" spans="2:11" x14ac:dyDescent="0.25">
      <c r="B44" s="91" t="s">
        <v>526</v>
      </c>
      <c r="C44" s="91">
        <v>3</v>
      </c>
      <c r="D44" s="59">
        <f>SUMIFS(PCA!$I:$I,PCA!$D:$D,B:B,PCA!$E:$E,C:C)+SUMIFS('Outras ações discricionárias'!$I:$I,'Outras ações discricionárias'!$D:$D,B:B,'Outras ações discricionárias'!$E:$E,C:C)</f>
        <v>2170943.86</v>
      </c>
      <c r="E44" s="59">
        <f>2116619+54326</f>
        <v>2170945</v>
      </c>
      <c r="F44" s="60">
        <f t="shared" si="9"/>
        <v>1.1400000001303852</v>
      </c>
      <c r="G44" s="49"/>
      <c r="H44" s="85" t="s">
        <v>699</v>
      </c>
      <c r="I44" s="59">
        <f>SUMIF(PCA!T:T,'Resumo por unidade'!H44,PCA!I:I)</f>
        <v>0</v>
      </c>
      <c r="J44" s="59">
        <v>59906.02</v>
      </c>
      <c r="K44" s="60">
        <f t="shared" si="4"/>
        <v>59906.02</v>
      </c>
    </row>
    <row r="45" spans="2:11" x14ac:dyDescent="0.25">
      <c r="B45" s="91" t="s">
        <v>526</v>
      </c>
      <c r="C45" s="91">
        <v>4</v>
      </c>
      <c r="D45" s="59">
        <f>SUMIFS(PCA!$I:$I,PCA!$D:$D,B:B,PCA!$E:$E,C:C)+SUMIFS('Outras ações discricionárias'!$I:$I,'Outras ações discricionárias'!$D:$D,B:B,'Outras ações discricionárias'!$E:$E,C:C)</f>
        <v>0</v>
      </c>
      <c r="E45" s="59">
        <v>0</v>
      </c>
      <c r="F45" s="60">
        <f t="shared" si="9"/>
        <v>0</v>
      </c>
      <c r="G45" s="49"/>
      <c r="H45" s="85" t="s">
        <v>822</v>
      </c>
      <c r="I45" s="59">
        <f>SUMIF(PCA!T:T,'Resumo por unidade'!H45,PCA!I:I)</f>
        <v>2515</v>
      </c>
      <c r="J45" s="59">
        <v>59906.02</v>
      </c>
      <c r="K45" s="60">
        <f>J45-I45</f>
        <v>57391.02</v>
      </c>
    </row>
    <row r="46" spans="2:11" x14ac:dyDescent="0.25">
      <c r="B46" s="91" t="s">
        <v>555</v>
      </c>
      <c r="C46" s="91">
        <v>3</v>
      </c>
      <c r="D46" s="59">
        <f>SUMIFS(PCA!$I:$I,PCA!$D:$D,B:B,PCA!$E:$E,C:C)+SUMIFS('Outras ações discricionárias'!$I:$I,'Outras ações discricionárias'!$D:$D,B:B,'Outras ações discricionárias'!$E:$E,C:C)</f>
        <v>1613046.7333333332</v>
      </c>
      <c r="E46" s="59">
        <v>1613047</v>
      </c>
      <c r="F46" s="60">
        <f t="shared" si="9"/>
        <v>0.26666666683740914</v>
      </c>
      <c r="G46" s="49"/>
      <c r="H46" s="85" t="s">
        <v>291</v>
      </c>
      <c r="I46" s="59">
        <f>SUMIF(PCA!T:T,'Resumo por unidade'!H46,PCA!I:I)</f>
        <v>33000</v>
      </c>
      <c r="J46" s="59">
        <v>59906.02</v>
      </c>
      <c r="K46" s="60">
        <f t="shared" si="4"/>
        <v>26906.019999999997</v>
      </c>
    </row>
    <row r="47" spans="2:11" x14ac:dyDescent="0.25">
      <c r="B47" s="91" t="s">
        <v>555</v>
      </c>
      <c r="C47" s="91">
        <v>4</v>
      </c>
      <c r="D47" s="59">
        <f>SUMIFS(PCA!$I:$I,PCA!$D:$D,B:B,PCA!$E:$E,C:C)+SUMIFS('Outras ações discricionárias'!$I:$I,'Outras ações discricionárias'!$D:$D,B:B,'Outras ações discricionárias'!$E:$E,C:C)</f>
        <v>0</v>
      </c>
      <c r="E47" s="59">
        <v>0</v>
      </c>
      <c r="F47" s="60">
        <f t="shared" si="9"/>
        <v>0</v>
      </c>
      <c r="G47" s="49"/>
      <c r="H47" s="85" t="s">
        <v>220</v>
      </c>
      <c r="I47" s="59">
        <f>SUMIF(PCA!T:T,'Resumo por unidade'!H47,PCA!I:I)</f>
        <v>43000</v>
      </c>
      <c r="J47" s="59">
        <v>59906.02</v>
      </c>
      <c r="K47" s="60">
        <f t="shared" si="4"/>
        <v>16906.019999999997</v>
      </c>
    </row>
    <row r="48" spans="2:11" x14ac:dyDescent="0.25">
      <c r="B48" s="91" t="s">
        <v>561</v>
      </c>
      <c r="C48" s="91">
        <v>3</v>
      </c>
      <c r="D48" s="59">
        <f>SUMIFS(PCA!$I:$I,PCA!$D:$D,B:B,PCA!$E:$E,C:C)+SUMIFS('Outras ações discricionárias'!$I:$I,'Outras ações discricionárias'!$D:$D,B:B,'Outras ações discricionárias'!$E:$E,C:C)</f>
        <v>1016410.9400000001</v>
      </c>
      <c r="E48" s="59">
        <v>1016411</v>
      </c>
      <c r="F48" s="60">
        <f t="shared" si="9"/>
        <v>5.9999999939464033E-2</v>
      </c>
      <c r="G48" s="49"/>
      <c r="H48" s="92" t="s">
        <v>847</v>
      </c>
      <c r="I48" s="59">
        <f>SUMIF(PCA!T:T,'Resumo por unidade'!H48,PCA!I:I)</f>
        <v>5000</v>
      </c>
      <c r="J48" s="59">
        <v>59906.02</v>
      </c>
      <c r="K48" s="60">
        <f t="shared" ref="K48" si="11">J48-I48</f>
        <v>54906.02</v>
      </c>
    </row>
    <row r="49" spans="2:11" x14ac:dyDescent="0.25">
      <c r="B49" s="91" t="s">
        <v>561</v>
      </c>
      <c r="C49" s="91">
        <v>4</v>
      </c>
      <c r="D49" s="59">
        <f>SUMIFS(PCA!$I:$I,PCA!$D:$D,B:B,PCA!$E:$E,C:C)+SUMIFS('Outras ações discricionárias'!$I:$I,'Outras ações discricionárias'!$D:$D,B:B,'Outras ações discricionárias'!$E:$E,C:C)</f>
        <v>0</v>
      </c>
      <c r="E49" s="59">
        <v>0</v>
      </c>
      <c r="F49" s="60">
        <f t="shared" si="9"/>
        <v>0</v>
      </c>
      <c r="G49" s="49"/>
      <c r="H49" s="85" t="s">
        <v>208</v>
      </c>
      <c r="I49" s="59">
        <f>SUMIF(PCA!T:T,'Resumo por unidade'!H49,PCA!I:I)</f>
        <v>209181.61599999989</v>
      </c>
      <c r="J49" s="59">
        <v>59906.02</v>
      </c>
      <c r="K49" s="60">
        <f t="shared" si="4"/>
        <v>-149275.5959999999</v>
      </c>
    </row>
    <row r="50" spans="2:11" x14ac:dyDescent="0.25">
      <c r="B50" s="91" t="s">
        <v>753</v>
      </c>
      <c r="C50" s="91">
        <v>3</v>
      </c>
      <c r="D50" s="59">
        <f>SUMIFS(PCA!$I:$I,PCA!$D:$D,B:B,PCA!$E:$E,C:C)+SUMIFS('Outras ações discricionárias'!$I:$I,'Outras ações discricionárias'!$D:$D,B:B,'Outras ações discricionárias'!$E:$E,C:C)</f>
        <v>6687398</v>
      </c>
      <c r="E50" s="59">
        <v>6687398</v>
      </c>
      <c r="F50" s="60">
        <f t="shared" si="9"/>
        <v>0</v>
      </c>
      <c r="G50" s="49"/>
      <c r="H50" s="85" t="s">
        <v>216</v>
      </c>
      <c r="I50" s="59">
        <f>SUMIF(PCA!T:T,'Resumo por unidade'!H50,PCA!I:I)</f>
        <v>40000</v>
      </c>
      <c r="J50" s="59">
        <v>59906.02</v>
      </c>
      <c r="K50" s="60">
        <f t="shared" si="4"/>
        <v>19906.019999999997</v>
      </c>
    </row>
    <row r="51" spans="2:11" x14ac:dyDescent="0.25">
      <c r="B51" s="91" t="s">
        <v>753</v>
      </c>
      <c r="C51" s="91">
        <v>4</v>
      </c>
      <c r="D51" s="59">
        <f>SUMIFS(PCA!$I:$I,PCA!$D:$D,B:B,PCA!$E:$E,C:C)+SUMIFS('Outras ações discricionárias'!$I:$I,'Outras ações discricionárias'!$D:$D,B:B,'Outras ações discricionárias'!$E:$E,C:C)</f>
        <v>0</v>
      </c>
      <c r="E51" s="59">
        <v>0</v>
      </c>
      <c r="F51" s="60">
        <f t="shared" si="9"/>
        <v>0</v>
      </c>
      <c r="G51" s="49"/>
      <c r="H51" s="85" t="s">
        <v>138</v>
      </c>
      <c r="I51" s="59">
        <f>SUMIF(PCA!T:T,'Resumo por unidade'!H51,PCA!I:I)</f>
        <v>0</v>
      </c>
      <c r="J51" s="59">
        <v>59906.02</v>
      </c>
      <c r="K51" s="60">
        <f t="shared" si="4"/>
        <v>59906.02</v>
      </c>
    </row>
    <row r="52" spans="2:11" x14ac:dyDescent="0.25">
      <c r="B52" s="91" t="s">
        <v>571</v>
      </c>
      <c r="C52" s="91">
        <v>3</v>
      </c>
      <c r="D52" s="59">
        <f>SUMIFS(PCA!$I:$I,PCA!$D:$D,B:B,PCA!$E:$E,C:C)+SUMIFS('Outras ações discricionárias'!$I:$I,'Outras ações discricionárias'!$D:$D,B:B,'Outras ações discricionárias'!$E:$E,C:C)</f>
        <v>9051540</v>
      </c>
      <c r="E52" s="59">
        <v>9051540</v>
      </c>
      <c r="F52" s="60">
        <f t="shared" si="9"/>
        <v>0</v>
      </c>
      <c r="G52" s="49"/>
      <c r="H52" s="85" t="s">
        <v>317</v>
      </c>
      <c r="I52" s="59">
        <f>SUMIF(PCA!T:T,'Resumo por unidade'!H52,PCA!I:I)</f>
        <v>79878.399999999994</v>
      </c>
      <c r="J52" s="59">
        <v>59906.02</v>
      </c>
      <c r="K52" s="60">
        <f t="shared" si="4"/>
        <v>-19972.379999999997</v>
      </c>
    </row>
    <row r="53" spans="2:11" x14ac:dyDescent="0.25">
      <c r="B53" s="91" t="s">
        <v>571</v>
      </c>
      <c r="C53" s="91">
        <v>4</v>
      </c>
      <c r="D53" s="59">
        <f>SUMIFS(PCA!$I:$I,PCA!$D:$D,B:B,PCA!$E:$E,C:C)+SUMIFS('Outras ações discricionárias'!$I:$I,'Outras ações discricionárias'!$D:$D,B:B,'Outras ações discricionárias'!$E:$E,C:C)</f>
        <v>35982</v>
      </c>
      <c r="E53" s="59">
        <v>35982</v>
      </c>
      <c r="F53" s="60">
        <f t="shared" si="9"/>
        <v>0</v>
      </c>
      <c r="G53" s="49"/>
      <c r="H53" s="85" t="s">
        <v>584</v>
      </c>
      <c r="I53" s="59">
        <f>SUMIF(PCA!T:T,'Resumo por unidade'!H53,PCA!I:I)</f>
        <v>38480</v>
      </c>
      <c r="J53" s="59">
        <v>59906.02</v>
      </c>
      <c r="K53" s="60">
        <f>J53-I53</f>
        <v>21426.019999999997</v>
      </c>
    </row>
    <row r="54" spans="2:11" x14ac:dyDescent="0.25">
      <c r="B54" s="91" t="s">
        <v>757</v>
      </c>
      <c r="C54" s="91">
        <v>3</v>
      </c>
      <c r="D54" s="59">
        <f>SUMIFS(PCA!$I:$I,PCA!$D:$D,B:B,PCA!$E:$E,C:C)+SUMIFS('Outras ações discricionárias'!$I:$I,'Outras ações discricionárias'!$D:$D,B:B,'Outras ações discricionárias'!$E:$E,C:C)</f>
        <v>203900</v>
      </c>
      <c r="E54" s="59">
        <v>203900</v>
      </c>
      <c r="F54" s="60">
        <f t="shared" si="9"/>
        <v>0</v>
      </c>
      <c r="G54" s="49"/>
      <c r="H54" s="85" t="s">
        <v>288</v>
      </c>
      <c r="I54" s="59">
        <f>SUMIF(PCA!T:T,'Resumo por unidade'!H54,PCA!I:I)</f>
        <v>358161.29</v>
      </c>
      <c r="J54" s="59">
        <v>59906.02</v>
      </c>
      <c r="K54" s="60">
        <f t="shared" si="4"/>
        <v>-298255.26999999996</v>
      </c>
    </row>
    <row r="55" spans="2:11" x14ac:dyDescent="0.25">
      <c r="B55" s="91" t="s">
        <v>757</v>
      </c>
      <c r="C55" s="91">
        <v>4</v>
      </c>
      <c r="D55" s="59">
        <f>SUMIFS(PCA!$I:$I,PCA!$D:$D,B:B,PCA!$E:$E,C:C)+SUMIFS('Outras ações discricionárias'!$I:$I,'Outras ações discricionárias'!$D:$D,B:B,'Outras ações discricionárias'!$E:$E,C:C)</f>
        <v>0</v>
      </c>
      <c r="E55" s="59">
        <v>0</v>
      </c>
      <c r="F55" s="60">
        <f t="shared" si="9"/>
        <v>0</v>
      </c>
      <c r="G55" s="49"/>
      <c r="H55" s="85" t="s">
        <v>823</v>
      </c>
      <c r="I55" s="59">
        <f>SUMIF(PCA!T:T,'Resumo por unidade'!H55,PCA!I:I)</f>
        <v>308238.5</v>
      </c>
      <c r="J55" s="59">
        <v>59906.02</v>
      </c>
      <c r="K55" s="60">
        <f>J55-I55</f>
        <v>-248332.48</v>
      </c>
    </row>
    <row r="56" spans="2:11" x14ac:dyDescent="0.25">
      <c r="B56" s="91" t="s">
        <v>759</v>
      </c>
      <c r="C56" s="91">
        <v>3</v>
      </c>
      <c r="D56" s="59">
        <f>SUMIFS(PCA!$I:$I,PCA!$D:$D,B:B,PCA!$E:$E,C:C)+SUMIFS('Outras ações discricionárias'!$I:$I,'Outras ações discricionárias'!$D:$D,B:B,'Outras ações discricionárias'!$E:$E,C:C)</f>
        <v>419794</v>
      </c>
      <c r="E56" s="59">
        <v>419794</v>
      </c>
      <c r="F56" s="60">
        <f t="shared" si="9"/>
        <v>0</v>
      </c>
      <c r="G56" s="49"/>
      <c r="H56" s="85" t="s">
        <v>113</v>
      </c>
      <c r="I56" s="59">
        <f>SUMIF(PCA!T:T,'Resumo por unidade'!H56,PCA!I:I)</f>
        <v>23713.759999999995</v>
      </c>
      <c r="J56" s="59">
        <v>59906.02</v>
      </c>
      <c r="K56" s="60">
        <f t="shared" si="4"/>
        <v>36192.26</v>
      </c>
    </row>
    <row r="57" spans="2:11" x14ac:dyDescent="0.25">
      <c r="B57" s="91" t="s">
        <v>759</v>
      </c>
      <c r="C57" s="91">
        <v>4</v>
      </c>
      <c r="D57" s="59">
        <f>SUMIFS(PCA!$I:$I,PCA!$D:$D,B:B,PCA!$E:$E,C:C)+SUMIFS('Outras ações discricionárias'!$I:$I,'Outras ações discricionárias'!$D:$D,B:B,'Outras ações discricionárias'!$E:$E,C:C)</f>
        <v>0</v>
      </c>
      <c r="E57" s="59">
        <v>0</v>
      </c>
      <c r="F57" s="60">
        <f>E57-D57</f>
        <v>0</v>
      </c>
      <c r="G57" s="49"/>
      <c r="H57" s="85" t="s">
        <v>824</v>
      </c>
      <c r="I57" s="59">
        <f>SUMIF(PCA!T:T,'Resumo por unidade'!H57,PCA!I:I)</f>
        <v>2163346.23</v>
      </c>
      <c r="J57" s="59">
        <v>59906.02</v>
      </c>
      <c r="K57" s="60">
        <f>J57-I57</f>
        <v>-2103440.21</v>
      </c>
    </row>
    <row r="58" spans="2:11" x14ac:dyDescent="0.25">
      <c r="B58" s="84"/>
      <c r="C58" s="84"/>
      <c r="D58" s="84"/>
      <c r="E58" s="84"/>
      <c r="F58" s="84"/>
      <c r="G58" s="49"/>
      <c r="H58" s="85" t="s">
        <v>283</v>
      </c>
      <c r="I58" s="59">
        <f>SUMIF(PCA!T:T,'Resumo por unidade'!H58,PCA!I:I)</f>
        <v>25312.140000000014</v>
      </c>
      <c r="J58" s="59">
        <v>59906.02</v>
      </c>
      <c r="K58" s="60">
        <f t="shared" si="4"/>
        <v>34593.879999999983</v>
      </c>
    </row>
    <row r="59" spans="2:11" x14ac:dyDescent="0.25">
      <c r="B59" s="84"/>
      <c r="C59" s="84"/>
      <c r="D59" s="84"/>
      <c r="E59" s="84"/>
      <c r="F59" s="84"/>
      <c r="G59" s="49"/>
      <c r="H59" s="85" t="s">
        <v>237</v>
      </c>
      <c r="I59" s="59">
        <f>SUMIF(PCA!T:T,'Resumo por unidade'!H59,PCA!I:I)</f>
        <v>60000</v>
      </c>
      <c r="J59" s="59">
        <v>59906.02</v>
      </c>
      <c r="K59" s="60">
        <f t="shared" si="4"/>
        <v>-93.980000000003201</v>
      </c>
    </row>
    <row r="60" spans="2:11" x14ac:dyDescent="0.25">
      <c r="B60" s="84"/>
      <c r="C60" s="84"/>
      <c r="D60" s="84"/>
      <c r="E60" s="84"/>
      <c r="F60" s="84"/>
      <c r="G60" s="49"/>
      <c r="H60" s="85" t="s">
        <v>83</v>
      </c>
      <c r="I60" s="59">
        <f>SUMIF(PCA!T:T,'Resumo por unidade'!H60,PCA!I:I)</f>
        <v>4601355.9117000028</v>
      </c>
      <c r="J60" s="59">
        <v>59906.02</v>
      </c>
      <c r="K60" s="60">
        <f t="shared" si="4"/>
        <v>-4541449.8917000033</v>
      </c>
    </row>
    <row r="61" spans="2:11" x14ac:dyDescent="0.25">
      <c r="B61" s="84"/>
      <c r="C61" s="84"/>
      <c r="D61" s="84"/>
      <c r="E61" s="84"/>
      <c r="F61" s="84"/>
      <c r="G61" s="49"/>
      <c r="H61" s="85" t="s">
        <v>307</v>
      </c>
      <c r="I61" s="59">
        <f>SUMIF(PCA!T:T,'Resumo por unidade'!H61,PCA!I:I)</f>
        <v>1420000</v>
      </c>
      <c r="J61" s="59">
        <v>59906.02</v>
      </c>
      <c r="K61" s="60">
        <f t="shared" si="4"/>
        <v>-1360093.98</v>
      </c>
    </row>
    <row r="62" spans="2:11" x14ac:dyDescent="0.25">
      <c r="B62" s="84"/>
      <c r="C62" s="84"/>
      <c r="D62" s="84"/>
      <c r="E62" s="84"/>
      <c r="F62" s="84"/>
      <c r="G62" s="49"/>
      <c r="H62" s="85" t="s">
        <v>545</v>
      </c>
      <c r="I62" s="59">
        <f>SUMIF(PCA!T:T,'Resumo por unidade'!H62,PCA!I:I)</f>
        <v>1772941.86</v>
      </c>
      <c r="J62" s="59">
        <v>59906.02</v>
      </c>
      <c r="K62" s="60">
        <f t="shared" si="4"/>
        <v>-1713035.84</v>
      </c>
    </row>
    <row r="63" spans="2:11" x14ac:dyDescent="0.25">
      <c r="B63" s="84"/>
      <c r="C63" s="84"/>
      <c r="D63" s="84"/>
      <c r="E63" s="84"/>
      <c r="F63" s="84"/>
      <c r="G63" s="49"/>
      <c r="H63" s="85" t="s">
        <v>239</v>
      </c>
      <c r="I63" s="59">
        <f>SUMIF(PCA!T:T,'Resumo por unidade'!H63,PCA!I:I)</f>
        <v>36829.93</v>
      </c>
      <c r="J63" s="59">
        <v>59906.02</v>
      </c>
      <c r="K63" s="60">
        <f t="shared" si="4"/>
        <v>23076.089999999997</v>
      </c>
    </row>
    <row r="64" spans="2:11" x14ac:dyDescent="0.25">
      <c r="B64" s="84"/>
      <c r="C64" s="84"/>
      <c r="D64" s="84"/>
      <c r="E64" s="84"/>
      <c r="F64" s="84"/>
      <c r="G64" s="49"/>
      <c r="H64" s="85" t="s">
        <v>119</v>
      </c>
      <c r="I64" s="59">
        <f>SUMIF(PCA!T:T,'Resumo por unidade'!H64,PCA!I:I)</f>
        <v>261238.27400000003</v>
      </c>
      <c r="J64" s="59">
        <v>59906.02</v>
      </c>
      <c r="K64" s="60">
        <f t="shared" si="4"/>
        <v>-201332.25400000004</v>
      </c>
    </row>
    <row r="65" spans="8:11" x14ac:dyDescent="0.25">
      <c r="H65" s="85" t="s">
        <v>650</v>
      </c>
      <c r="I65" s="59">
        <f>SUMIF(PCA!T:T,'Resumo por unidade'!H65,PCA!I:I)</f>
        <v>3363</v>
      </c>
      <c r="J65" s="59">
        <v>59906.02</v>
      </c>
      <c r="K65" s="60">
        <f t="shared" si="4"/>
        <v>56543.02</v>
      </c>
    </row>
    <row r="66" spans="8:11" x14ac:dyDescent="0.25">
      <c r="H66" s="85" t="s">
        <v>64</v>
      </c>
      <c r="I66" s="59">
        <f>SUMIF(PCA!T:T,'Resumo por unidade'!H66,PCA!I:I)</f>
        <v>1790805.31</v>
      </c>
      <c r="J66" s="59">
        <v>59906.02</v>
      </c>
      <c r="K66" s="60">
        <f t="shared" si="4"/>
        <v>-1730899.29</v>
      </c>
    </row>
    <row r="67" spans="8:11" x14ac:dyDescent="0.25">
      <c r="H67" s="85" t="s">
        <v>622</v>
      </c>
      <c r="I67" s="59">
        <f>SUMIF(PCA!T:T,'Resumo por unidade'!H67,PCA!I:I)</f>
        <v>43883</v>
      </c>
      <c r="J67" s="59">
        <v>59906.02</v>
      </c>
      <c r="K67" s="60">
        <f t="shared" si="4"/>
        <v>16023.019999999997</v>
      </c>
    </row>
    <row r="68" spans="8:11" x14ac:dyDescent="0.25">
      <c r="H68" s="85" t="s">
        <v>798</v>
      </c>
      <c r="I68" s="59">
        <f>SUMIF(PCA!T:T,'Resumo por unidade'!H68,PCA!I:I)</f>
        <v>0</v>
      </c>
      <c r="J68" s="59">
        <v>59906.02</v>
      </c>
      <c r="K68" s="60">
        <f t="shared" si="4"/>
        <v>59906.02</v>
      </c>
    </row>
    <row r="69" spans="8:11" x14ac:dyDescent="0.25">
      <c r="H69" s="85" t="s">
        <v>799</v>
      </c>
      <c r="I69" s="59">
        <f>SUMIF(PCA!T:T,'Resumo por unidade'!H69,PCA!I:I)</f>
        <v>0</v>
      </c>
      <c r="J69" s="59">
        <v>59906.02</v>
      </c>
      <c r="K69" s="60">
        <f t="shared" si="4"/>
        <v>59906.02</v>
      </c>
    </row>
    <row r="70" spans="8:11" x14ac:dyDescent="0.25">
      <c r="H70" s="85" t="s">
        <v>800</v>
      </c>
      <c r="I70" s="59">
        <f>SUMIF(PCA!T:T,'Resumo por unidade'!H70,PCA!I:I)</f>
        <v>0</v>
      </c>
      <c r="J70" s="59">
        <v>59906.02</v>
      </c>
      <c r="K70" s="60">
        <f t="shared" si="4"/>
        <v>59906.02</v>
      </c>
    </row>
    <row r="71" spans="8:11" x14ac:dyDescent="0.25">
      <c r="H71" s="92" t="s">
        <v>224</v>
      </c>
      <c r="I71" s="59">
        <f>SUMIF(PCA!T:T,'Resumo por unidade'!H71,PCA!I:I)</f>
        <v>40000</v>
      </c>
      <c r="J71" s="59">
        <v>59906.02</v>
      </c>
      <c r="K71" s="60">
        <f t="shared" si="4"/>
        <v>19906.019999999997</v>
      </c>
    </row>
    <row r="72" spans="8:11" x14ac:dyDescent="0.25">
      <c r="H72" s="85" t="s">
        <v>251</v>
      </c>
      <c r="I72" s="59">
        <f>SUMIF(PCA!T:T,'Resumo por unidade'!H72,PCA!I:I)</f>
        <v>1071753.95</v>
      </c>
      <c r="J72" s="59">
        <v>59906.02</v>
      </c>
      <c r="K72" s="60">
        <f t="shared" si="4"/>
        <v>-1011847.9299999999</v>
      </c>
    </row>
    <row r="73" spans="8:11" x14ac:dyDescent="0.25">
      <c r="H73" s="85" t="s">
        <v>176</v>
      </c>
      <c r="I73" s="59">
        <f>SUMIF(PCA!T:T,'Resumo por unidade'!H73,PCA!I:I)</f>
        <v>0</v>
      </c>
      <c r="J73" s="59">
        <v>59906.02</v>
      </c>
      <c r="K73" s="60">
        <f t="shared" si="4"/>
        <v>59906.02</v>
      </c>
    </row>
    <row r="74" spans="8:11" x14ac:dyDescent="0.25">
      <c r="H74" s="85" t="s">
        <v>801</v>
      </c>
      <c r="I74" s="59">
        <f>SUMIF(PCA!T:T,'Resumo por unidade'!H74,PCA!I:I)</f>
        <v>0</v>
      </c>
      <c r="J74" s="59">
        <v>59906.02</v>
      </c>
      <c r="K74" s="60">
        <f t="shared" si="4"/>
        <v>59906.02</v>
      </c>
    </row>
    <row r="75" spans="8:11" x14ac:dyDescent="0.25">
      <c r="H75" s="92" t="s">
        <v>539</v>
      </c>
      <c r="I75" s="59">
        <f>SUMIF(PCA!T:T,'Resumo por unidade'!H75,PCA!I:I)</f>
        <v>5100</v>
      </c>
      <c r="J75" s="59">
        <v>59906.02</v>
      </c>
      <c r="K75" s="60">
        <f t="shared" ref="K75" si="12">J75-I75</f>
        <v>54806.02</v>
      </c>
    </row>
    <row r="76" spans="8:11" x14ac:dyDescent="0.25">
      <c r="H76" s="85" t="s">
        <v>566</v>
      </c>
      <c r="I76" s="59">
        <f>SUMIF(PCA!T:T,'Resumo por unidade'!H76,PCA!I:I)</f>
        <v>790540.78</v>
      </c>
      <c r="J76" s="59">
        <v>59906.02</v>
      </c>
      <c r="K76" s="60">
        <f t="shared" si="4"/>
        <v>-730634.76</v>
      </c>
    </row>
    <row r="77" spans="8:11" x14ac:dyDescent="0.25">
      <c r="H77" s="85" t="s">
        <v>159</v>
      </c>
      <c r="I77" s="59">
        <f>SUMIF(PCA!T:T,'Resumo por unidade'!H77,PCA!I:I)</f>
        <v>2996.7766666666666</v>
      </c>
      <c r="J77" s="59">
        <v>59906.02</v>
      </c>
      <c r="K77" s="60">
        <f t="shared" si="4"/>
        <v>56909.243333333332</v>
      </c>
    </row>
    <row r="78" spans="8:11" x14ac:dyDescent="0.25">
      <c r="H78" s="85" t="s">
        <v>411</v>
      </c>
      <c r="I78" s="59">
        <f>SUMIF(PCA!T:T,'Resumo por unidade'!H78,PCA!I:I)</f>
        <v>39799.998650000001</v>
      </c>
      <c r="J78" s="59">
        <v>59906.02</v>
      </c>
      <c r="K78" s="60">
        <f t="shared" si="4"/>
        <v>20106.021349999995</v>
      </c>
    </row>
    <row r="79" spans="8:11" x14ac:dyDescent="0.25">
      <c r="H79" s="85" t="s">
        <v>802</v>
      </c>
      <c r="I79" s="59">
        <f>SUMIF(PCA!T:T,'Resumo por unidade'!H79,PCA!I:I)</f>
        <v>0</v>
      </c>
      <c r="J79" s="59">
        <v>59906.02</v>
      </c>
      <c r="K79" s="60">
        <f t="shared" si="4"/>
        <v>59906.02</v>
      </c>
    </row>
    <row r="80" spans="8:11" x14ac:dyDescent="0.25">
      <c r="H80" s="85" t="s">
        <v>380</v>
      </c>
      <c r="I80" s="59">
        <f>SUMIF(PCA!T:T,'Resumo por unidade'!H80,PCA!I:I)</f>
        <v>636180</v>
      </c>
      <c r="J80" s="59">
        <v>59906.02</v>
      </c>
      <c r="K80" s="60">
        <f t="shared" si="4"/>
        <v>-576273.98</v>
      </c>
    </row>
    <row r="81" spans="8:11" x14ac:dyDescent="0.25">
      <c r="H81" s="92" t="s">
        <v>851</v>
      </c>
      <c r="I81" s="59">
        <f>SUMIF(PCA!T:T,'Resumo por unidade'!H81,PCA!I:I)</f>
        <v>3210</v>
      </c>
      <c r="J81" s="59">
        <v>59906.02</v>
      </c>
      <c r="K81" s="60">
        <f t="shared" ref="K81" si="13">J81-I81</f>
        <v>56696.02</v>
      </c>
    </row>
    <row r="82" spans="8:11" x14ac:dyDescent="0.25">
      <c r="H82" s="85" t="s">
        <v>234</v>
      </c>
      <c r="I82" s="59">
        <f>SUMIF(PCA!T:T,'Resumo por unidade'!H82,PCA!I:I)</f>
        <v>9635</v>
      </c>
      <c r="J82" s="59">
        <v>59906.02</v>
      </c>
      <c r="K82" s="60">
        <f t="shared" si="4"/>
        <v>50271.02</v>
      </c>
    </row>
    <row r="83" spans="8:11" x14ac:dyDescent="0.25">
      <c r="H83" s="85" t="s">
        <v>593</v>
      </c>
      <c r="I83" s="59">
        <f>SUMIF(PCA!T:T,'Resumo por unidade'!H83,PCA!I:I)</f>
        <v>398836</v>
      </c>
      <c r="J83" s="59">
        <v>59906.02</v>
      </c>
      <c r="K83" s="60">
        <f t="shared" si="4"/>
        <v>-338929.98</v>
      </c>
    </row>
    <row r="84" spans="8:11" x14ac:dyDescent="0.25">
      <c r="H84" s="85" t="s">
        <v>803</v>
      </c>
      <c r="I84" s="59">
        <f>SUMIF(PCA!T:T,'Resumo por unidade'!H84,PCA!I:I)</f>
        <v>0</v>
      </c>
      <c r="J84" s="59">
        <v>59906.02</v>
      </c>
      <c r="K84" s="60">
        <f t="shared" si="4"/>
        <v>59906.02</v>
      </c>
    </row>
    <row r="85" spans="8:11" x14ac:dyDescent="0.25">
      <c r="H85" s="85" t="s">
        <v>590</v>
      </c>
      <c r="I85" s="59">
        <f>SUMIF(PCA!T:T,'Resumo por unidade'!H85,PCA!I:I)</f>
        <v>14300</v>
      </c>
      <c r="J85" s="59">
        <v>59906.02</v>
      </c>
      <c r="K85" s="60">
        <f t="shared" si="4"/>
        <v>45606.02</v>
      </c>
    </row>
    <row r="86" spans="8:11" x14ac:dyDescent="0.25">
      <c r="H86" s="85" t="s">
        <v>101</v>
      </c>
      <c r="I86" s="59">
        <f>SUMIF(PCA!T:T,'Resumo por unidade'!H86,PCA!I:I)</f>
        <v>37159.82</v>
      </c>
      <c r="J86" s="59">
        <v>59906.02</v>
      </c>
      <c r="K86" s="60">
        <f t="shared" si="4"/>
        <v>22746.199999999997</v>
      </c>
    </row>
    <row r="87" spans="8:11" x14ac:dyDescent="0.25">
      <c r="H87" s="85" t="s">
        <v>59</v>
      </c>
      <c r="I87" s="59">
        <f>SUMIF(PCA!T:T,'Resumo por unidade'!H87,PCA!I:I)</f>
        <v>269000</v>
      </c>
      <c r="J87" s="59">
        <v>59906.02</v>
      </c>
      <c r="K87" s="60">
        <f t="shared" si="4"/>
        <v>-209093.98</v>
      </c>
    </row>
    <row r="88" spans="8:11" x14ac:dyDescent="0.25">
      <c r="H88" s="85" t="s">
        <v>619</v>
      </c>
      <c r="I88" s="59">
        <f>SUMIF(PCA!T:T,'Resumo por unidade'!H88,PCA!I:I)</f>
        <v>52000</v>
      </c>
      <c r="J88" s="59">
        <v>59906.02</v>
      </c>
      <c r="K88" s="60">
        <f t="shared" si="4"/>
        <v>7906.0199999999968</v>
      </c>
    </row>
    <row r="89" spans="8:11" x14ac:dyDescent="0.25">
      <c r="H89" s="85" t="s">
        <v>355</v>
      </c>
      <c r="I89" s="59">
        <f>SUMIF(PCA!T:T,'Resumo por unidade'!H89,PCA!I:I)</f>
        <v>3014041.41</v>
      </c>
      <c r="J89" s="59">
        <v>59906.02</v>
      </c>
      <c r="K89" s="60">
        <f t="shared" si="4"/>
        <v>-2954135.39</v>
      </c>
    </row>
    <row r="90" spans="8:11" x14ac:dyDescent="0.25">
      <c r="H90" s="85" t="s">
        <v>531</v>
      </c>
      <c r="I90" s="59">
        <f>SUMIF(PCA!T:T,'Resumo por unidade'!H90,PCA!I:I)</f>
        <v>228715</v>
      </c>
      <c r="J90" s="59">
        <v>59906.02</v>
      </c>
      <c r="K90" s="60">
        <f t="shared" si="4"/>
        <v>-168808.98</v>
      </c>
    </row>
    <row r="91" spans="8:11" x14ac:dyDescent="0.25">
      <c r="H91" s="85" t="s">
        <v>149</v>
      </c>
      <c r="I91" s="59">
        <f>SUMIF(PCA!T:T,'Resumo por unidade'!H91,PCA!I:I)</f>
        <v>2324379.0649999999</v>
      </c>
      <c r="J91" s="59">
        <v>59906.02</v>
      </c>
      <c r="K91" s="60">
        <f t="shared" si="4"/>
        <v>-2264473.0449999999</v>
      </c>
    </row>
    <row r="92" spans="8:11" x14ac:dyDescent="0.25">
      <c r="H92" s="85" t="s">
        <v>261</v>
      </c>
      <c r="I92" s="59">
        <f>SUMIF(PCA!T:T,'Resumo por unidade'!H92,PCA!I:I)</f>
        <v>6100791.4901999999</v>
      </c>
      <c r="J92" s="59">
        <v>59906.02</v>
      </c>
      <c r="K92" s="60">
        <f t="shared" si="4"/>
        <v>-6040885.4702000003</v>
      </c>
    </row>
    <row r="93" spans="8:11" x14ac:dyDescent="0.25">
      <c r="H93" s="85" t="s">
        <v>441</v>
      </c>
      <c r="I93" s="59">
        <f>SUMIF(PCA!T:T,'Resumo por unidade'!H93,PCA!I:I)</f>
        <v>15657</v>
      </c>
      <c r="J93" s="59">
        <v>59906.02</v>
      </c>
      <c r="K93" s="60">
        <f t="shared" si="4"/>
        <v>44249.02</v>
      </c>
    </row>
    <row r="94" spans="8:11" x14ac:dyDescent="0.25">
      <c r="H94" s="85" t="s">
        <v>804</v>
      </c>
      <c r="I94" s="59">
        <f>SUMIF(PCA!T:T,'Resumo por unidade'!H94,PCA!I:I)</f>
        <v>0</v>
      </c>
      <c r="J94" s="59">
        <v>59906.02</v>
      </c>
      <c r="K94" s="60">
        <f t="shared" si="4"/>
        <v>59906.02</v>
      </c>
    </row>
    <row r="95" spans="8:11" x14ac:dyDescent="0.25">
      <c r="H95" s="85" t="s">
        <v>634</v>
      </c>
      <c r="I95" s="59">
        <f>SUMIF(PCA!T:T,'Resumo por unidade'!H95,PCA!I:I)</f>
        <v>10030</v>
      </c>
      <c r="J95" s="59">
        <v>59906.02</v>
      </c>
      <c r="K95" s="60">
        <f t="shared" si="4"/>
        <v>49876.02</v>
      </c>
    </row>
    <row r="96" spans="8:11" x14ac:dyDescent="0.25">
      <c r="H96" s="85" t="s">
        <v>805</v>
      </c>
      <c r="I96" s="59">
        <f>SUMIF(PCA!T:T,'Resumo por unidade'!H96,PCA!I:I)</f>
        <v>0</v>
      </c>
      <c r="J96" s="59">
        <v>59906.02</v>
      </c>
      <c r="K96" s="60">
        <f t="shared" si="4"/>
        <v>59906.02</v>
      </c>
    </row>
    <row r="97" spans="8:11" x14ac:dyDescent="0.25">
      <c r="H97" s="85" t="s">
        <v>897</v>
      </c>
      <c r="I97" s="59">
        <f>SUMIF(PCA!T:T,'Resumo por unidade'!H97,PCA!I:I)</f>
        <v>46656.4</v>
      </c>
      <c r="J97" s="59">
        <v>59906.02</v>
      </c>
      <c r="K97" s="60">
        <f>J97-I97</f>
        <v>13249.619999999995</v>
      </c>
    </row>
    <row r="98" spans="8:11" x14ac:dyDescent="0.25">
      <c r="H98" s="85" t="s">
        <v>88</v>
      </c>
      <c r="I98" s="59">
        <f>SUMIF(PCA!T:T,'Resumo por unidade'!H98,PCA!I:I)</f>
        <v>450600.33849999995</v>
      </c>
      <c r="J98" s="59">
        <v>59906.02</v>
      </c>
      <c r="K98" s="60">
        <f t="shared" ref="K98" si="14">J98-I98</f>
        <v>-390694.31849999994</v>
      </c>
    </row>
    <row r="99" spans="8:11" x14ac:dyDescent="0.25">
      <c r="H99" s="85" t="s">
        <v>109</v>
      </c>
      <c r="I99" s="59">
        <f>SUMIF(PCA!T:T,'Resumo por unidade'!H99,PCA!I:I)</f>
        <v>35000</v>
      </c>
      <c r="J99" s="59">
        <v>59906.02</v>
      </c>
      <c r="K99" s="60">
        <f t="shared" si="4"/>
        <v>24906.019999999997</v>
      </c>
    </row>
    <row r="100" spans="8:11" x14ac:dyDescent="0.25">
      <c r="H100" s="85" t="s">
        <v>93</v>
      </c>
      <c r="I100" s="59">
        <f>SUMIF(PCA!T:T,'Resumo por unidade'!H100,PCA!I:I)</f>
        <v>308976.61</v>
      </c>
      <c r="J100" s="59">
        <v>59906.02</v>
      </c>
      <c r="K100" s="60">
        <f t="shared" si="4"/>
        <v>-249070.59</v>
      </c>
    </row>
    <row r="101" spans="8:11" x14ac:dyDescent="0.25">
      <c r="H101" s="85" t="s">
        <v>256</v>
      </c>
      <c r="I101" s="59">
        <f>SUMIF(PCA!T:T,'Resumo por unidade'!H101,PCA!I:I)</f>
        <v>1617010.1461999954</v>
      </c>
      <c r="J101" s="59">
        <v>59906.02</v>
      </c>
      <c r="K101" s="60">
        <f t="shared" si="4"/>
        <v>-1557104.1261999954</v>
      </c>
    </row>
    <row r="102" spans="8:11" x14ac:dyDescent="0.25">
      <c r="H102" s="85" t="s">
        <v>269</v>
      </c>
      <c r="I102" s="59">
        <f>SUMIF(PCA!T:T,'Resumo por unidade'!H102,PCA!I:I)</f>
        <v>6101289</v>
      </c>
      <c r="J102" s="59">
        <v>59906.02</v>
      </c>
      <c r="K102" s="60">
        <f t="shared" si="4"/>
        <v>-6041382.9800000004</v>
      </c>
    </row>
    <row r="103" spans="8:11" x14ac:dyDescent="0.25">
      <c r="H103" s="85" t="s">
        <v>656</v>
      </c>
      <c r="I103" s="59">
        <f>SUMIF(PCA!T:T,'Resumo por unidade'!H103,PCA!I:I)</f>
        <v>500</v>
      </c>
      <c r="J103" s="59">
        <v>59906.02</v>
      </c>
      <c r="K103" s="60">
        <f t="shared" si="4"/>
        <v>59406.02</v>
      </c>
    </row>
    <row r="104" spans="8:11" x14ac:dyDescent="0.25">
      <c r="H104" s="85" t="s">
        <v>181</v>
      </c>
      <c r="I104" s="59">
        <f>SUMIF(PCA!T:T,'Resumo por unidade'!H104,PCA!I:I)</f>
        <v>0</v>
      </c>
      <c r="J104" s="59">
        <v>59906.02</v>
      </c>
      <c r="K104" s="60">
        <f t="shared" si="4"/>
        <v>59906.02</v>
      </c>
    </row>
    <row r="105" spans="8:11" x14ac:dyDescent="0.25">
      <c r="H105" s="85" t="s">
        <v>446</v>
      </c>
      <c r="I105" s="59">
        <f>SUMIF(PCA!T:T,'Resumo por unidade'!H105,PCA!I:I)</f>
        <v>56066.258549999999</v>
      </c>
      <c r="J105" s="59">
        <v>59906.02</v>
      </c>
      <c r="K105" s="60">
        <f t="shared" si="4"/>
        <v>3839.7614499999981</v>
      </c>
    </row>
    <row r="106" spans="8:11" x14ac:dyDescent="0.25">
      <c r="H106" s="85" t="s">
        <v>386</v>
      </c>
      <c r="I106" s="59">
        <f>SUMIF(PCA!T:T,'Resumo por unidade'!H106,PCA!I:I)</f>
        <v>300000</v>
      </c>
      <c r="J106" s="59">
        <v>59906.02</v>
      </c>
      <c r="K106" s="60">
        <f t="shared" si="4"/>
        <v>-240093.98</v>
      </c>
    </row>
    <row r="107" spans="8:11" x14ac:dyDescent="0.25">
      <c r="H107" s="85" t="s">
        <v>674</v>
      </c>
      <c r="I107" s="59">
        <f>SUMIF(PCA!T:T,'Resumo por unidade'!H107,PCA!I:I)</f>
        <v>111680</v>
      </c>
      <c r="J107" s="59">
        <v>59906.02</v>
      </c>
      <c r="K107" s="60">
        <f t="shared" si="4"/>
        <v>-51773.98</v>
      </c>
    </row>
    <row r="108" spans="8:11" x14ac:dyDescent="0.25">
      <c r="H108" s="85" t="s">
        <v>408</v>
      </c>
      <c r="I108" s="59">
        <f>SUMIF(PCA!T:T,'Resumo por unidade'!H108,PCA!I:I)</f>
        <v>7291095.7599999998</v>
      </c>
      <c r="J108" s="59">
        <v>59906.02</v>
      </c>
      <c r="K108" s="60">
        <f t="shared" si="4"/>
        <v>-7231189.7400000002</v>
      </c>
    </row>
    <row r="109" spans="8:11" x14ac:dyDescent="0.25">
      <c r="H109" s="85" t="s">
        <v>460</v>
      </c>
      <c r="I109" s="59">
        <f>SUMIF(PCA!T:T,'Resumo por unidade'!H109,PCA!I:I)</f>
        <v>100000</v>
      </c>
      <c r="J109" s="59">
        <v>59906.02</v>
      </c>
      <c r="K109" s="60">
        <f t="shared" si="4"/>
        <v>-40093.980000000003</v>
      </c>
    </row>
    <row r="110" spans="8:11" x14ac:dyDescent="0.25">
      <c r="H110" s="85" t="s">
        <v>344</v>
      </c>
      <c r="I110" s="59">
        <f>SUMIF(PCA!T:T,'Resumo por unidade'!H110,PCA!I:I)</f>
        <v>7070036.6667999998</v>
      </c>
      <c r="J110" s="59">
        <v>59906.02</v>
      </c>
      <c r="K110" s="60">
        <f t="shared" si="4"/>
        <v>-7010130.6468000002</v>
      </c>
    </row>
    <row r="111" spans="8:11" x14ac:dyDescent="0.25">
      <c r="H111" s="85" t="s">
        <v>419</v>
      </c>
      <c r="I111" s="59">
        <f>SUMIF(PCA!T:T,'Resumo por unidade'!H111,PCA!I:I)</f>
        <v>181742.79759999999</v>
      </c>
      <c r="J111" s="59">
        <v>59906.02</v>
      </c>
      <c r="K111" s="60">
        <f t="shared" si="4"/>
        <v>-121836.7776</v>
      </c>
    </row>
    <row r="112" spans="8:11" x14ac:dyDescent="0.25">
      <c r="H112" s="85" t="s">
        <v>456</v>
      </c>
      <c r="I112" s="59">
        <f>SUMIF(PCA!T:T,'Resumo por unidade'!H112,PCA!I:I)</f>
        <v>500003.25</v>
      </c>
      <c r="J112" s="59">
        <v>59906.02</v>
      </c>
      <c r="K112" s="60">
        <f t="shared" si="4"/>
        <v>-440097.23</v>
      </c>
    </row>
    <row r="113" spans="8:11" x14ac:dyDescent="0.25">
      <c r="H113" s="85" t="s">
        <v>361</v>
      </c>
      <c r="I113" s="59">
        <f>SUMIF(PCA!T:T,'Resumo por unidade'!H113,PCA!I:I)</f>
        <v>2139585</v>
      </c>
      <c r="J113" s="59">
        <v>59906.02</v>
      </c>
      <c r="K113" s="60">
        <f t="shared" si="4"/>
        <v>-2079678.98</v>
      </c>
    </row>
    <row r="114" spans="8:11" x14ac:dyDescent="0.25">
      <c r="H114" s="85" t="s">
        <v>338</v>
      </c>
      <c r="I114" s="59">
        <f>SUMIF(PCA!T:T,'Resumo por unidade'!H114,PCA!I:I)</f>
        <v>21775235</v>
      </c>
      <c r="J114" s="59">
        <v>59906.02</v>
      </c>
      <c r="K114" s="60">
        <f t="shared" si="4"/>
        <v>-21715328.98</v>
      </c>
    </row>
    <row r="115" spans="8:11" x14ac:dyDescent="0.25">
      <c r="H115" s="85" t="s">
        <v>392</v>
      </c>
      <c r="I115" s="59">
        <f>SUMIF(PCA!T:T,'Resumo por unidade'!H115,PCA!I:I)</f>
        <v>390986.25</v>
      </c>
      <c r="J115" s="59">
        <v>59906.02</v>
      </c>
      <c r="K115" s="60">
        <f t="shared" si="4"/>
        <v>-331080.23</v>
      </c>
    </row>
    <row r="116" spans="8:11" x14ac:dyDescent="0.25">
      <c r="H116" s="85" t="s">
        <v>513</v>
      </c>
      <c r="I116" s="59">
        <f>SUMIF(PCA!T:T,'Resumo por unidade'!H116,PCA!I:I)</f>
        <v>24179</v>
      </c>
      <c r="J116" s="59">
        <v>59906.02</v>
      </c>
      <c r="K116" s="60">
        <f t="shared" si="4"/>
        <v>35727.019999999997</v>
      </c>
    </row>
    <row r="117" spans="8:11" x14ac:dyDescent="0.25">
      <c r="H117" s="85" t="s">
        <v>349</v>
      </c>
      <c r="I117" s="59">
        <f>SUMIF(PCA!T:T,'Resumo por unidade'!H117,PCA!I:I)</f>
        <v>4712166.8142583296</v>
      </c>
      <c r="J117" s="59">
        <v>59906.02</v>
      </c>
      <c r="K117" s="60">
        <f t="shared" si="4"/>
        <v>-4652260.79425833</v>
      </c>
    </row>
    <row r="118" spans="8:11" x14ac:dyDescent="0.25">
      <c r="H118" s="85" t="s">
        <v>516</v>
      </c>
      <c r="I118" s="59">
        <f>SUMIF(PCA!T:T,'Resumo por unidade'!H118,PCA!I:I)</f>
        <v>0</v>
      </c>
      <c r="J118" s="59">
        <v>59906.02</v>
      </c>
      <c r="K118" s="60">
        <f t="shared" si="4"/>
        <v>59906.02</v>
      </c>
    </row>
    <row r="119" spans="8:11" x14ac:dyDescent="0.25">
      <c r="H119" s="85" t="s">
        <v>485</v>
      </c>
      <c r="I119" s="59">
        <f>SUMIF(PCA!T:T,'Resumo por unidade'!H119,PCA!I:I)</f>
        <v>2982859.37</v>
      </c>
      <c r="J119" s="59">
        <v>59906.02</v>
      </c>
      <c r="K119" s="60">
        <f t="shared" si="4"/>
        <v>-2922953.35</v>
      </c>
    </row>
    <row r="120" spans="8:11" x14ac:dyDescent="0.25">
      <c r="H120" s="85" t="s">
        <v>452</v>
      </c>
      <c r="I120" s="59">
        <f>SUMIF(PCA!T:T,'Resumo por unidade'!H120,PCA!I:I)</f>
        <v>50723.904949999996</v>
      </c>
      <c r="J120" s="59">
        <v>59906.02</v>
      </c>
      <c r="K120" s="60">
        <f t="shared" si="4"/>
        <v>9182.1150500000003</v>
      </c>
    </row>
    <row r="121" spans="8:11" x14ac:dyDescent="0.25">
      <c r="H121" s="85" t="s">
        <v>428</v>
      </c>
      <c r="I121" s="59">
        <f>SUMIF(PCA!T:T,'Resumo por unidade'!H121,PCA!I:I)</f>
        <v>186465.52</v>
      </c>
      <c r="J121" s="59">
        <v>59906.02</v>
      </c>
      <c r="K121" s="60">
        <f t="shared" si="4"/>
        <v>-126559.5</v>
      </c>
    </row>
    <row r="122" spans="8:11" x14ac:dyDescent="0.25">
      <c r="H122" s="85" t="s">
        <v>370</v>
      </c>
      <c r="I122" s="59">
        <f>SUMIF(PCA!T:T,'Resumo por unidade'!H122,PCA!I:I)</f>
        <v>6712847.6527083339</v>
      </c>
      <c r="J122" s="59">
        <v>59906.02</v>
      </c>
      <c r="K122" s="60">
        <f t="shared" si="4"/>
        <v>-6652941.6327083344</v>
      </c>
    </row>
    <row r="123" spans="8:11" x14ac:dyDescent="0.25">
      <c r="H123" s="85" t="s">
        <v>195</v>
      </c>
      <c r="I123" s="59">
        <f>SUMIF(PCA!T:T,'Resumo por unidade'!H123,PCA!I:I)</f>
        <v>52456.68</v>
      </c>
      <c r="J123" s="59">
        <v>59906.02</v>
      </c>
      <c r="K123" s="60">
        <f t="shared" ref="K123:K139" si="15">J123-I123</f>
        <v>7449.3399999999965</v>
      </c>
    </row>
    <row r="124" spans="8:11" x14ac:dyDescent="0.25">
      <c r="H124" s="85" t="s">
        <v>70</v>
      </c>
      <c r="I124" s="59">
        <f>SUMIF(PCA!T:T,'Resumo por unidade'!H124,PCA!I:I)</f>
        <v>92120.020799999998</v>
      </c>
      <c r="J124" s="59">
        <v>59906.02</v>
      </c>
      <c r="K124" s="60">
        <f t="shared" si="15"/>
        <v>-32214.000800000002</v>
      </c>
    </row>
    <row r="125" spans="8:11" x14ac:dyDescent="0.25">
      <c r="H125" s="85" t="s">
        <v>508</v>
      </c>
      <c r="I125" s="59">
        <f>SUMIF(PCA!T:T,'Resumo por unidade'!H125,PCA!I:I)</f>
        <v>0</v>
      </c>
      <c r="J125" s="59">
        <v>59906.02</v>
      </c>
      <c r="K125" s="60">
        <f t="shared" si="15"/>
        <v>59906.02</v>
      </c>
    </row>
    <row r="126" spans="8:11" x14ac:dyDescent="0.25">
      <c r="H126" s="85" t="s">
        <v>646</v>
      </c>
      <c r="I126" s="59">
        <f>SUMIF(PCA!T:T,'Resumo por unidade'!H126,PCA!I:I)</f>
        <v>12000</v>
      </c>
      <c r="J126" s="59">
        <v>59906.02</v>
      </c>
      <c r="K126" s="60">
        <f t="shared" si="15"/>
        <v>47906.02</v>
      </c>
    </row>
    <row r="127" spans="8:11" x14ac:dyDescent="0.25">
      <c r="H127" s="85" t="s">
        <v>332</v>
      </c>
      <c r="I127" s="59">
        <f>SUMIF(PCA!T:T,'Resumo por unidade'!H127,PCA!I:I)</f>
        <v>13464269.780000001</v>
      </c>
      <c r="J127" s="59">
        <v>59906.02</v>
      </c>
      <c r="K127" s="60">
        <f t="shared" si="15"/>
        <v>-13404363.760000002</v>
      </c>
    </row>
    <row r="128" spans="8:11" x14ac:dyDescent="0.25">
      <c r="H128" s="85" t="s">
        <v>155</v>
      </c>
      <c r="I128" s="59">
        <f>SUMIF(PCA!T:T,'Resumo por unidade'!H128,PCA!I:I)</f>
        <v>13208</v>
      </c>
      <c r="J128" s="59">
        <v>59906.02</v>
      </c>
      <c r="K128" s="60">
        <f t="shared" ref="K128" si="16">J128-I128</f>
        <v>46698.02</v>
      </c>
    </row>
    <row r="129" spans="8:11" x14ac:dyDescent="0.25">
      <c r="H129" s="85" t="s">
        <v>75</v>
      </c>
      <c r="I129" s="59">
        <f>SUMIF(PCA!T:T,'Resumo por unidade'!H129,PCA!I:I)</f>
        <v>7403.04</v>
      </c>
      <c r="J129" s="59">
        <v>59906.02</v>
      </c>
      <c r="K129" s="60">
        <f>J129-I129</f>
        <v>52502.979999999996</v>
      </c>
    </row>
    <row r="130" spans="8:11" x14ac:dyDescent="0.25">
      <c r="H130" s="85" t="s">
        <v>806</v>
      </c>
      <c r="I130" s="59">
        <f>SUMIF(PCA!T:T,'Resumo por unidade'!H130,PCA!I:I)</f>
        <v>0</v>
      </c>
      <c r="J130" s="59">
        <v>59906.02</v>
      </c>
      <c r="K130" s="60">
        <f t="shared" si="15"/>
        <v>59906.02</v>
      </c>
    </row>
    <row r="131" spans="8:11" x14ac:dyDescent="0.25">
      <c r="H131" s="85" t="s">
        <v>244</v>
      </c>
      <c r="I131" s="59">
        <f>SUMIF(PCA!T:T,'Resumo por unidade'!H131,PCA!I:I)</f>
        <v>42235.61</v>
      </c>
      <c r="J131" s="59">
        <v>59906.02</v>
      </c>
      <c r="K131" s="60">
        <f t="shared" si="15"/>
        <v>17670.409999999996</v>
      </c>
    </row>
    <row r="132" spans="8:11" x14ac:dyDescent="0.25">
      <c r="H132" s="86" t="s">
        <v>299</v>
      </c>
      <c r="I132" s="59">
        <f>SUMIF(PCA!T:T,'Resumo por unidade'!H132,PCA!I:I)</f>
        <v>18035.62</v>
      </c>
      <c r="J132" s="59">
        <v>59906.02</v>
      </c>
      <c r="K132" s="60">
        <f t="shared" si="15"/>
        <v>41870.399999999994</v>
      </c>
    </row>
    <row r="133" spans="8:11" x14ac:dyDescent="0.25">
      <c r="H133" s="86" t="s">
        <v>53</v>
      </c>
      <c r="I133" s="93">
        <f>SUMIF(PCA!T:T,'Resumo por unidade'!H133,PCA!I:I)</f>
        <v>2564830.5099999998</v>
      </c>
      <c r="J133" s="59">
        <v>59906.02</v>
      </c>
      <c r="K133" s="60">
        <f>J133-I133</f>
        <v>-2504924.4899999998</v>
      </c>
    </row>
    <row r="134" spans="8:11" x14ac:dyDescent="0.25">
      <c r="H134" s="85" t="s">
        <v>35</v>
      </c>
      <c r="I134" s="87">
        <f>SUMIF(PCA!T:T,'Resumo por unidade'!H134,PCA!I:I)</f>
        <v>90000</v>
      </c>
      <c r="J134" s="59">
        <v>59906.02</v>
      </c>
      <c r="K134" s="60">
        <f t="shared" si="15"/>
        <v>-30093.980000000003</v>
      </c>
    </row>
    <row r="135" spans="8:11" x14ac:dyDescent="0.25">
      <c r="H135" s="85" t="s">
        <v>201</v>
      </c>
      <c r="I135" s="59">
        <f>SUMIF(PCA!T:T,'Resumo por unidade'!H135,PCA!I:I)</f>
        <v>12317504.710000001</v>
      </c>
      <c r="J135" s="59">
        <v>59906.02</v>
      </c>
      <c r="K135" s="60">
        <f t="shared" si="15"/>
        <v>-12257598.690000001</v>
      </c>
    </row>
    <row r="136" spans="8:11" x14ac:dyDescent="0.25">
      <c r="H136" s="85" t="s">
        <v>143</v>
      </c>
      <c r="I136" s="59">
        <f>SUMIF(PCA!T:T,'Resumo por unidade'!H136,PCA!I:I)</f>
        <v>26121683.963999998</v>
      </c>
      <c r="J136" s="59">
        <v>59906.02</v>
      </c>
      <c r="K136" s="60">
        <f t="shared" si="15"/>
        <v>-26061777.943999998</v>
      </c>
    </row>
    <row r="137" spans="8:11" x14ac:dyDescent="0.25">
      <c r="H137" s="85" t="s">
        <v>242</v>
      </c>
      <c r="I137" s="59">
        <f>SUMIF(PCA!T:T,'Resumo por unidade'!H137,PCA!I:I)</f>
        <v>38748.269999999997</v>
      </c>
      <c r="J137" s="59">
        <v>59906.02</v>
      </c>
      <c r="K137" s="60">
        <f t="shared" si="15"/>
        <v>21157.75</v>
      </c>
    </row>
    <row r="138" spans="8:11" x14ac:dyDescent="0.25">
      <c r="H138" s="85" t="s">
        <v>839</v>
      </c>
      <c r="I138" s="59">
        <f>SUMIF(PCA!T:T,'Resumo por unidade'!H138,PCA!I:I)</f>
        <v>17556.86</v>
      </c>
      <c r="J138" s="59">
        <v>59906.02</v>
      </c>
      <c r="K138" s="60">
        <f t="shared" ref="K138" si="17">J138-I138</f>
        <v>42349.159999999996</v>
      </c>
    </row>
    <row r="139" spans="8:11" x14ac:dyDescent="0.25">
      <c r="H139" s="85" t="s">
        <v>44</v>
      </c>
      <c r="I139" s="59">
        <f>SUMIF(PCA!T:T,'Resumo por unidade'!H139,PCA!I:I)</f>
        <v>134211.15599999999</v>
      </c>
      <c r="J139" s="59">
        <v>59906.02</v>
      </c>
      <c r="K139" s="60">
        <f t="shared" si="15"/>
        <v>-74305.135999999999</v>
      </c>
    </row>
    <row r="140" spans="8:11" x14ac:dyDescent="0.25">
      <c r="H140" s="85" t="s">
        <v>600</v>
      </c>
      <c r="I140" s="59">
        <f>SUMIF(PCA!T:T,'Resumo por unidade'!H140,PCA!I:I)</f>
        <v>262093</v>
      </c>
      <c r="J140" s="59">
        <v>59906.02</v>
      </c>
      <c r="K140" s="60">
        <f>J140-I140</f>
        <v>-202186.98</v>
      </c>
    </row>
    <row r="141" spans="8:11" x14ac:dyDescent="0.25">
      <c r="H141" s="85" t="s">
        <v>204</v>
      </c>
      <c r="I141" s="59">
        <f>SUMIF(PCA!T:T,'Resumo por unidade'!H141,PCA!I:I)</f>
        <v>12950.53</v>
      </c>
      <c r="J141" s="59">
        <v>59906.02</v>
      </c>
      <c r="K141" s="60">
        <f>J141-I141</f>
        <v>46955.49</v>
      </c>
    </row>
    <row r="142" spans="8:11" x14ac:dyDescent="0.25">
      <c r="H142" s="85" t="s">
        <v>827</v>
      </c>
      <c r="I142" s="59">
        <f>SUMIF(PCA!T:T,'Resumo por unidade'!H142,PCA!I:I)</f>
        <v>143205.57999999999</v>
      </c>
      <c r="J142" s="59">
        <v>59906.02</v>
      </c>
      <c r="K142" s="60">
        <f>J142-I142</f>
        <v>-83299.56</v>
      </c>
    </row>
    <row r="143" spans="8:11" x14ac:dyDescent="0.25">
      <c r="H143" s="85" t="s">
        <v>825</v>
      </c>
      <c r="I143" s="59">
        <f>SUMIF(PCA!T:T,'Resumo por unidade'!H143,PCA!I:I)</f>
        <v>645855.91999999993</v>
      </c>
      <c r="J143" s="59">
        <v>59906.02</v>
      </c>
      <c r="K143" s="60">
        <f>J143-I143</f>
        <v>-585949.89999999991</v>
      </c>
    </row>
  </sheetData>
  <autoFilter ref="H23:K144" xr:uid="{00000000-0001-0000-0200-000000000000}"/>
  <phoneticPr fontId="7" type="noConversion"/>
  <conditionalFormatting sqref="D4:E4">
    <cfRule type="cellIs" dxfId="8" priority="2" operator="notBetween">
      <formula>-1</formula>
      <formula>1</formula>
    </cfRule>
  </conditionalFormatting>
  <conditionalFormatting sqref="D16:E16">
    <cfRule type="cellIs" dxfId="7" priority="3" operator="notBetween">
      <formula>-1</formula>
      <formula>1</formula>
    </cfRule>
  </conditionalFormatting>
  <conditionalFormatting sqref="D32:E32">
    <cfRule type="cellIs" dxfId="6" priority="10" operator="notBetween">
      <formula>-1</formula>
      <formula>1</formula>
    </cfRule>
  </conditionalFormatting>
  <conditionalFormatting sqref="F6:F13">
    <cfRule type="cellIs" dxfId="5" priority="12" operator="lessThan">
      <formula>-1</formula>
    </cfRule>
  </conditionalFormatting>
  <conditionalFormatting sqref="F18:F29">
    <cfRule type="cellIs" dxfId="4" priority="6" operator="lessThan">
      <formula>-1</formula>
    </cfRule>
  </conditionalFormatting>
  <conditionalFormatting sqref="F34:F57">
    <cfRule type="cellIs" dxfId="3" priority="1" operator="lessThan">
      <formula>-1</formula>
    </cfRule>
  </conditionalFormatting>
  <conditionalFormatting sqref="I22">
    <cfRule type="cellIs" dxfId="2" priority="8" operator="notBetween">
      <formula>-1</formula>
      <formula>1</formula>
    </cfRule>
  </conditionalFormatting>
  <conditionalFormatting sqref="I4:J4">
    <cfRule type="cellIs" dxfId="1" priority="7" operator="notBetween">
      <formula>-1</formula>
      <formula>1</formula>
    </cfRule>
  </conditionalFormatting>
  <conditionalFormatting sqref="K24:K143">
    <cfRule type="cellIs" dxfId="0" priority="13" operator="lessThanOrEqual">
      <formula>0</formula>
    </cfRule>
  </conditionalFormatting>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1A5ADBE86533F4BB33EF516192173CE" ma:contentTypeVersion="6" ma:contentTypeDescription="Create a new document." ma:contentTypeScope="" ma:versionID="3387201b7c6ca973dfdeaa0ecd76273d">
  <xsd:schema xmlns:xsd="http://www.w3.org/2001/XMLSchema" xmlns:xs="http://www.w3.org/2001/XMLSchema" xmlns:p="http://schemas.microsoft.com/office/2006/metadata/properties" xmlns:ns2="f0af8808-8843-444b-94c4-86c0ae1c93da" xmlns:ns3="a9c38585-5fcb-43a1-9e74-2a80ca4f53bb" targetNamespace="http://schemas.microsoft.com/office/2006/metadata/properties" ma:root="true" ma:fieldsID="06769fd6a661746fa206fe150991829e" ns2:_="" ns3:_="">
    <xsd:import namespace="f0af8808-8843-444b-94c4-86c0ae1c93da"/>
    <xsd:import namespace="a9c38585-5fcb-43a1-9e74-2a80ca4f5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8808-8843-444b-94c4-86c0ae1c93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38585-5fcb-43a1-9e74-2a80ca4f53b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3C562A-D9FC-46DB-858E-A58823D3EA67}">
  <ds:schemaRefs>
    <ds:schemaRef ds:uri="http://schemas.microsoft.com/sharepoint/v3/contenttype/forms"/>
  </ds:schemaRefs>
</ds:datastoreItem>
</file>

<file path=customXml/itemProps2.xml><?xml version="1.0" encoding="utf-8"?>
<ds:datastoreItem xmlns:ds="http://schemas.openxmlformats.org/officeDocument/2006/customXml" ds:itemID="{9D2BB258-4CE4-4B9C-B21B-451AA716E438}">
  <ds:schemaRefs>
    <ds:schemaRef ds:uri="http://www.w3.org/XML/1998/namespace"/>
    <ds:schemaRef ds:uri="http://purl.org/dc/terms/"/>
    <ds:schemaRef ds:uri="http://schemas.microsoft.com/office/infopath/2007/PartnerControls"/>
    <ds:schemaRef ds:uri="http://purl.org/dc/elements/1.1/"/>
    <ds:schemaRef ds:uri="a9c38585-5fcb-43a1-9e74-2a80ca4f53bb"/>
    <ds:schemaRef ds:uri="http://schemas.openxmlformats.org/package/2006/metadata/core-properties"/>
    <ds:schemaRef ds:uri="http://schemas.microsoft.com/office/2006/documentManagement/types"/>
    <ds:schemaRef ds:uri="f0af8808-8843-444b-94c4-86c0ae1c93da"/>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9C0FC80-D8D4-4186-A014-EF4336C894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8808-8843-444b-94c4-86c0ae1c93da"/>
    <ds:schemaRef ds:uri="a9c38585-5fcb-43a1-9e74-2a80ca4f5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Outras ações discricionárias</vt:lpstr>
      <vt:lpstr>Resumo por unidade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Secretaria de Administração</dc:creator>
  <cp:keywords/>
  <dc:description/>
  <cp:lastModifiedBy>Fernando Potyguar de Alencar Araújo</cp:lastModifiedBy>
  <cp:revision/>
  <cp:lastPrinted>2024-02-22T19:04:31Z</cp:lastPrinted>
  <dcterms:created xsi:type="dcterms:W3CDTF">2022-06-21T18:57:23Z</dcterms:created>
  <dcterms:modified xsi:type="dcterms:W3CDTF">2024-05-20T19:52:52Z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0x010100A1A5ADBE86533F4BB33EF516192173CE</vt:lpwstr>
  </property>
</Properties>
</file>