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cnjjusbr-my.sharepoint.com/personal/fernando_alencar_cnj_jus_br/Documents/Documentos/CNJ/Plano de Contratações Anual/Atualização PCA CNJ/2024/2024 - 02/"/>
    </mc:Choice>
  </mc:AlternateContent>
  <xr:revisionPtr revIDLastSave="0" documentId="8_{C5EDA3D5-7565-418F-B9BC-A1C6F6CF511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CA" sheetId="4" r:id="rId1"/>
    <sheet name="Outras ações discricionárias" sheetId="6" r:id="rId2"/>
    <sheet name="Resumo por unidade" sheetId="5" r:id="rId3"/>
  </sheets>
  <definedNames>
    <definedName name="_xlnm._FilterDatabase" localSheetId="1" hidden="1">'Outras ações discricionárias'!$B$6:$S$20</definedName>
    <definedName name="_xlnm._FilterDatabase" localSheetId="0" hidden="1">PCA!$B$6:$T$204</definedName>
    <definedName name="_xlnm._FilterDatabase" localSheetId="2" hidden="1">'Resumo por unidade'!$H$23:$K$139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4" l="1"/>
  <c r="I197" i="4"/>
  <c r="I34" i="4" l="1"/>
  <c r="I45" i="5"/>
  <c r="K45" i="5" s="1"/>
  <c r="I136" i="4"/>
  <c r="I126" i="4"/>
  <c r="I80" i="4"/>
  <c r="I27" i="5" l="1"/>
  <c r="K27" i="5" s="1"/>
  <c r="I47" i="4"/>
  <c r="I188" i="4"/>
  <c r="I133" i="5"/>
  <c r="K133" i="5" s="1"/>
  <c r="I22" i="4"/>
  <c r="I24" i="4"/>
  <c r="E44" i="5"/>
  <c r="E34" i="5"/>
  <c r="J13" i="5"/>
  <c r="E23" i="5" s="1"/>
  <c r="J8" i="5"/>
  <c r="E18" i="5" s="1"/>
  <c r="E12" i="5" l="1"/>
  <c r="I199" i="4"/>
  <c r="I32" i="5" s="1"/>
  <c r="K32" i="5" s="1"/>
  <c r="I185" i="4"/>
  <c r="I45" i="4" l="1"/>
  <c r="I8" i="4"/>
  <c r="I187" i="4"/>
  <c r="I37" i="4"/>
  <c r="I31" i="4"/>
  <c r="I30" i="4"/>
  <c r="I38" i="5"/>
  <c r="K38" i="5" s="1"/>
  <c r="I137" i="5"/>
  <c r="K137" i="5" s="1"/>
  <c r="I136" i="5"/>
  <c r="K136" i="5" s="1"/>
  <c r="I59" i="4"/>
  <c r="I42" i="5"/>
  <c r="K42" i="5" s="1"/>
  <c r="I33" i="4"/>
  <c r="I52" i="5" s="1"/>
  <c r="K52" i="5" s="1"/>
  <c r="I63" i="4"/>
  <c r="I42" i="4"/>
  <c r="I39" i="4"/>
  <c r="I54" i="5" s="1"/>
  <c r="K54" i="5" s="1"/>
  <c r="I38" i="4"/>
  <c r="I16" i="4"/>
  <c r="I93" i="5" s="1"/>
  <c r="K93" i="5" s="1"/>
  <c r="I15" i="4"/>
  <c r="I33" i="5"/>
  <c r="K33" i="5" s="1"/>
  <c r="I25" i="5"/>
  <c r="K25" i="5" s="1"/>
  <c r="E38" i="5"/>
  <c r="E7" i="5"/>
  <c r="J10" i="5"/>
  <c r="E8" i="5" s="1"/>
  <c r="I29" i="5"/>
  <c r="K29" i="5" s="1"/>
  <c r="I119" i="4"/>
  <c r="I79" i="4"/>
  <c r="I14" i="6"/>
  <c r="I139" i="4"/>
  <c r="I138" i="4"/>
  <c r="I137" i="4"/>
  <c r="I30" i="5"/>
  <c r="K30" i="5" s="1"/>
  <c r="I50" i="5"/>
  <c r="K50" i="5" s="1"/>
  <c r="I26" i="5"/>
  <c r="K26" i="5" s="1"/>
  <c r="I135" i="5"/>
  <c r="K135" i="5" s="1"/>
  <c r="D19" i="5"/>
  <c r="F19" i="5" s="1"/>
  <c r="D21" i="5"/>
  <c r="F21" i="5" s="1"/>
  <c r="D23" i="5"/>
  <c r="F23" i="5" s="1"/>
  <c r="D24" i="5"/>
  <c r="F24" i="5" s="1"/>
  <c r="D25" i="5"/>
  <c r="F25" i="5" s="1"/>
  <c r="D26" i="5"/>
  <c r="F26" i="5" s="1"/>
  <c r="D28" i="5"/>
  <c r="F28" i="5" s="1"/>
  <c r="D29" i="5"/>
  <c r="F29" i="5" s="1"/>
  <c r="D36" i="5"/>
  <c r="F36" i="5" s="1"/>
  <c r="D37" i="5"/>
  <c r="F37" i="5" s="1"/>
  <c r="D39" i="5"/>
  <c r="F39" i="5" s="1"/>
  <c r="D40" i="5"/>
  <c r="F40" i="5" s="1"/>
  <c r="D41" i="5"/>
  <c r="F41" i="5" s="1"/>
  <c r="D44" i="5"/>
  <c r="F44" i="5" s="1"/>
  <c r="D45" i="5"/>
  <c r="F45" i="5" s="1"/>
  <c r="D46" i="5"/>
  <c r="F46" i="5" s="1"/>
  <c r="D47" i="5"/>
  <c r="F47" i="5" s="1"/>
  <c r="D48" i="5"/>
  <c r="F48" i="5" s="1"/>
  <c r="D49" i="5"/>
  <c r="F49" i="5" s="1"/>
  <c r="D50" i="5"/>
  <c r="F50" i="5" s="1"/>
  <c r="D51" i="5"/>
  <c r="F51" i="5" s="1"/>
  <c r="D54" i="5"/>
  <c r="F54" i="5" s="1"/>
  <c r="D55" i="5"/>
  <c r="F55" i="5" s="1"/>
  <c r="D56" i="5"/>
  <c r="F56" i="5" s="1"/>
  <c r="D57" i="5"/>
  <c r="F57" i="5" s="1"/>
  <c r="I124" i="5"/>
  <c r="K124" i="5" s="1"/>
  <c r="I128" i="5"/>
  <c r="K128" i="5" s="1"/>
  <c r="I72" i="5"/>
  <c r="K72" i="5" s="1"/>
  <c r="I67" i="4"/>
  <c r="I156" i="4"/>
  <c r="I182" i="4"/>
  <c r="D53" i="5" s="1"/>
  <c r="F53" i="5" s="1"/>
  <c r="I138" i="5" l="1"/>
  <c r="K138" i="5" s="1"/>
  <c r="D43" i="5"/>
  <c r="F43" i="5" s="1"/>
  <c r="I35" i="5"/>
  <c r="K35" i="5" s="1"/>
  <c r="I130" i="4"/>
  <c r="I129" i="4"/>
  <c r="I128" i="4"/>
  <c r="I127" i="4"/>
  <c r="I98" i="4"/>
  <c r="I194" i="4"/>
  <c r="I24" i="5"/>
  <c r="K24" i="5" s="1"/>
  <c r="D22" i="5" l="1"/>
  <c r="F22" i="5" s="1"/>
  <c r="D42" i="5"/>
  <c r="F42" i="5" s="1"/>
  <c r="D20" i="5"/>
  <c r="F20" i="5" s="1"/>
  <c r="D38" i="5"/>
  <c r="F38" i="5" s="1"/>
  <c r="I123" i="5"/>
  <c r="K123" i="5" s="1"/>
  <c r="I92" i="5" l="1"/>
  <c r="K92" i="5" s="1"/>
  <c r="I94" i="5"/>
  <c r="K94" i="5" s="1"/>
  <c r="I95" i="5"/>
  <c r="K95" i="5" s="1"/>
  <c r="I96" i="5"/>
  <c r="K96" i="5" s="1"/>
  <c r="I99" i="5"/>
  <c r="K99" i="5" s="1"/>
  <c r="I100" i="5"/>
  <c r="K100" i="5" s="1"/>
  <c r="I101" i="5"/>
  <c r="K101" i="5" s="1"/>
  <c r="I102" i="5"/>
  <c r="K102" i="5" s="1"/>
  <c r="I103" i="5"/>
  <c r="K103" i="5" s="1"/>
  <c r="I37" i="5"/>
  <c r="K37" i="5" s="1"/>
  <c r="I39" i="5"/>
  <c r="K39" i="5" s="1"/>
  <c r="I40" i="5"/>
  <c r="K40" i="5" s="1"/>
  <c r="I41" i="5"/>
  <c r="K41" i="5" s="1"/>
  <c r="I43" i="5"/>
  <c r="K43" i="5" s="1"/>
  <c r="I44" i="5"/>
  <c r="K44" i="5" s="1"/>
  <c r="I46" i="5"/>
  <c r="K46" i="5" s="1"/>
  <c r="I47" i="5"/>
  <c r="K47" i="5" s="1"/>
  <c r="I49" i="5"/>
  <c r="K49" i="5" s="1"/>
  <c r="I51" i="5"/>
  <c r="K51" i="5" s="1"/>
  <c r="I56" i="5"/>
  <c r="K56" i="5" s="1"/>
  <c r="I58" i="5"/>
  <c r="K58" i="5" s="1"/>
  <c r="I59" i="5"/>
  <c r="K59" i="5" s="1"/>
  <c r="I60" i="5"/>
  <c r="K60" i="5" s="1"/>
  <c r="I63" i="5"/>
  <c r="K63" i="5" s="1"/>
  <c r="I64" i="5"/>
  <c r="K64" i="5" s="1"/>
  <c r="I65" i="5"/>
  <c r="K65" i="5" s="1"/>
  <c r="I66" i="5"/>
  <c r="K66" i="5" s="1"/>
  <c r="I67" i="5"/>
  <c r="K67" i="5" s="1"/>
  <c r="I68" i="5"/>
  <c r="K68" i="5" s="1"/>
  <c r="I69" i="5"/>
  <c r="K69" i="5" s="1"/>
  <c r="I70" i="5"/>
  <c r="K70" i="5" s="1"/>
  <c r="I71" i="5"/>
  <c r="K71" i="5" s="1"/>
  <c r="I73" i="5"/>
  <c r="K73" i="5" s="1"/>
  <c r="I75" i="5"/>
  <c r="K75" i="5" s="1"/>
  <c r="I76" i="5"/>
  <c r="K76" i="5" s="1"/>
  <c r="I119" i="5"/>
  <c r="K119" i="5" s="1"/>
  <c r="I120" i="5"/>
  <c r="K120" i="5" s="1"/>
  <c r="I89" i="5"/>
  <c r="K89" i="5" s="1"/>
  <c r="I90" i="5"/>
  <c r="K90" i="5" s="1"/>
  <c r="I104" i="5"/>
  <c r="K104" i="5" s="1"/>
  <c r="I105" i="5"/>
  <c r="K105" i="5" s="1"/>
  <c r="I106" i="5"/>
  <c r="K106" i="5" s="1"/>
  <c r="I107" i="5"/>
  <c r="K107" i="5" s="1"/>
  <c r="I108" i="5"/>
  <c r="K108" i="5" s="1"/>
  <c r="I109" i="5"/>
  <c r="K109" i="5" s="1"/>
  <c r="I110" i="5"/>
  <c r="K110" i="5" s="1"/>
  <c r="I111" i="5"/>
  <c r="K111" i="5" s="1"/>
  <c r="I112" i="5"/>
  <c r="K112" i="5" s="1"/>
  <c r="I113" i="5"/>
  <c r="K113" i="5" s="1"/>
  <c r="I114" i="5"/>
  <c r="K114" i="5" s="1"/>
  <c r="I115" i="5"/>
  <c r="K115" i="5" s="1"/>
  <c r="I116" i="5"/>
  <c r="K116" i="5" s="1"/>
  <c r="I117" i="5"/>
  <c r="K117" i="5" s="1"/>
  <c r="I118" i="5"/>
  <c r="I122" i="5"/>
  <c r="K122" i="5" s="1"/>
  <c r="I53" i="5" l="1"/>
  <c r="K53" i="5" s="1"/>
  <c r="I87" i="5"/>
  <c r="K87" i="5" s="1"/>
  <c r="I70" i="4"/>
  <c r="I28" i="5" s="1"/>
  <c r="I173" i="4"/>
  <c r="I168" i="4"/>
  <c r="I180" i="4"/>
  <c r="D11" i="5"/>
  <c r="F11" i="5" s="1"/>
  <c r="I134" i="5"/>
  <c r="K134" i="5" s="1"/>
  <c r="I132" i="5"/>
  <c r="K132" i="5" s="1"/>
  <c r="I130" i="5"/>
  <c r="K130" i="5" s="1"/>
  <c r="I129" i="5"/>
  <c r="K129" i="5" s="1"/>
  <c r="I127" i="5"/>
  <c r="K127" i="5" s="1"/>
  <c r="I126" i="5"/>
  <c r="K126" i="5" s="1"/>
  <c r="I125" i="5"/>
  <c r="K125" i="5" s="1"/>
  <c r="K118" i="5"/>
  <c r="I85" i="5"/>
  <c r="K85" i="5" s="1"/>
  <c r="I84" i="5"/>
  <c r="K84" i="5" s="1"/>
  <c r="I83" i="5"/>
  <c r="K83" i="5" s="1"/>
  <c r="I82" i="5"/>
  <c r="K82" i="5" s="1"/>
  <c r="I81" i="5"/>
  <c r="K81" i="5" s="1"/>
  <c r="I80" i="5"/>
  <c r="K80" i="5" s="1"/>
  <c r="I79" i="5"/>
  <c r="K79" i="5" s="1"/>
  <c r="I78" i="5"/>
  <c r="K78" i="5" s="1"/>
  <c r="I77" i="5"/>
  <c r="K77" i="5" s="1"/>
  <c r="I34" i="5"/>
  <c r="K34" i="5" s="1"/>
  <c r="I31" i="5"/>
  <c r="K31" i="5" s="1"/>
  <c r="D6" i="5"/>
  <c r="D10" i="5"/>
  <c r="F10" i="5" s="1"/>
  <c r="D13" i="5"/>
  <c r="F13" i="5" s="1"/>
  <c r="J18" i="5"/>
  <c r="I18" i="5"/>
  <c r="J7" i="5"/>
  <c r="I7" i="5"/>
  <c r="E6" i="5"/>
  <c r="I5" i="6"/>
  <c r="I179" i="4"/>
  <c r="I176" i="4"/>
  <c r="I165" i="4"/>
  <c r="I66" i="4"/>
  <c r="I65" i="4"/>
  <c r="I64" i="4"/>
  <c r="I62" i="4"/>
  <c r="I61" i="4"/>
  <c r="D34" i="5" l="1"/>
  <c r="F34" i="5" s="1"/>
  <c r="D18" i="5"/>
  <c r="F18" i="5" s="1"/>
  <c r="D35" i="5"/>
  <c r="F35" i="5" s="1"/>
  <c r="D52" i="5"/>
  <c r="F52" i="5" s="1"/>
  <c r="D27" i="5"/>
  <c r="F27" i="5" s="1"/>
  <c r="I131" i="5"/>
  <c r="K131" i="5" s="1"/>
  <c r="I36" i="5"/>
  <c r="K36" i="5" s="1"/>
  <c r="I57" i="5"/>
  <c r="K57" i="5" s="1"/>
  <c r="I48" i="5"/>
  <c r="K48" i="5" s="1"/>
  <c r="I121" i="5"/>
  <c r="K121" i="5" s="1"/>
  <c r="I61" i="5"/>
  <c r="K61" i="5" s="1"/>
  <c r="I97" i="5"/>
  <c r="K97" i="5" s="1"/>
  <c r="I62" i="5"/>
  <c r="K62" i="5" s="1"/>
  <c r="I86" i="5"/>
  <c r="K86" i="5" s="1"/>
  <c r="I74" i="5"/>
  <c r="K74" i="5" s="1"/>
  <c r="I98" i="5"/>
  <c r="K98" i="5" s="1"/>
  <c r="I88" i="5"/>
  <c r="K88" i="5" s="1"/>
  <c r="I91" i="5"/>
  <c r="K91" i="5" s="1"/>
  <c r="I55" i="5"/>
  <c r="K55" i="5" s="1"/>
  <c r="E14" i="5"/>
  <c r="J4" i="5" s="1"/>
  <c r="J6" i="5"/>
  <c r="E32" i="5" s="1"/>
  <c r="K28" i="5"/>
  <c r="D7" i="5"/>
  <c r="F7" i="5" s="1"/>
  <c r="D9" i="5"/>
  <c r="F9" i="5" s="1"/>
  <c r="D12" i="5"/>
  <c r="F12" i="5" s="1"/>
  <c r="D8" i="5"/>
  <c r="F8" i="5" s="1"/>
  <c r="I5" i="4"/>
  <c r="I6" i="5"/>
  <c r="F6" i="5"/>
  <c r="I22" i="5" l="1"/>
  <c r="E16" i="5"/>
  <c r="E4" i="5"/>
  <c r="D16" i="5"/>
  <c r="D32" i="5"/>
  <c r="I4" i="5"/>
  <c r="D14" i="5"/>
  <c r="D4" i="5" s="1"/>
  <c r="F14" i="5" l="1"/>
</calcChain>
</file>

<file path=xl/sharedStrings.xml><?xml version="1.0" encoding="utf-8"?>
<sst xmlns="http://schemas.openxmlformats.org/spreadsheetml/2006/main" count="3217" uniqueCount="862">
  <si>
    <t>CONSELHO NACIONAL DE JUSTIÇA</t>
  </si>
  <si>
    <t>PLANO DE CONTRATAÇÕES ANUAL 2024</t>
  </si>
  <si>
    <t>Item PCA</t>
  </si>
  <si>
    <t>Ação orçamentária</t>
  </si>
  <si>
    <t>Plano Orçamentário</t>
  </si>
  <si>
    <t>Grupo de natureza de despesa</t>
  </si>
  <si>
    <t>Natureza de despesa detalhada</t>
  </si>
  <si>
    <t>Unidade</t>
  </si>
  <si>
    <t>Demanda</t>
  </si>
  <si>
    <t>Captação 2024</t>
  </si>
  <si>
    <t>Justificativa</t>
  </si>
  <si>
    <t>UGR</t>
  </si>
  <si>
    <t>Alinhamento Estratégico</t>
  </si>
  <si>
    <t>Nova demanda?</t>
  </si>
  <si>
    <t>Gasto continuado?</t>
  </si>
  <si>
    <t>Tipo de contratação</t>
  </si>
  <si>
    <t>Processo SEI</t>
  </si>
  <si>
    <t>Nº do contrato, ata de registro de preço ou nota de empenho</t>
  </si>
  <si>
    <t>Data de referência</t>
  </si>
  <si>
    <t>Complexidade da contratação</t>
  </si>
  <si>
    <t>Classificação CATMAT / CATSER</t>
  </si>
  <si>
    <t>21BH</t>
  </si>
  <si>
    <t>0001</t>
  </si>
  <si>
    <t>3.3.90.39.47</t>
  </si>
  <si>
    <t>SAD</t>
  </si>
  <si>
    <t>Prestação de serviços postais, telemáticos e adicionais e entrega de encomendas na modalidade nacional e internacional; e contração do serviço e-carta para captação eletrônica de dados para geração de objetos postais para entrega física.</t>
  </si>
  <si>
    <t xml:space="preserve">Viabilizar a prestação de serviços destinados ao envio de comunicações processuais, correspondências, documentos ofíciais e divulgação de informações institucionais. </t>
  </si>
  <si>
    <t>COPF</t>
  </si>
  <si>
    <t>VI</t>
  </si>
  <si>
    <t>Não</t>
  </si>
  <si>
    <t>Sim</t>
  </si>
  <si>
    <t>Prorrogação</t>
  </si>
  <si>
    <t>06859/2020</t>
  </si>
  <si>
    <t>Contrato n. 27/2021</t>
  </si>
  <si>
    <t>Baixa</t>
  </si>
  <si>
    <t>CATSER - 4286</t>
  </si>
  <si>
    <t>3.3.90.40.00</t>
  </si>
  <si>
    <t xml:space="preserve">TED STF </t>
  </si>
  <si>
    <t xml:space="preserve">Ressarcimento das despesas realizadas pelo STF em favor do CNJ </t>
  </si>
  <si>
    <t>040100 - SAD</t>
  </si>
  <si>
    <t>XI</t>
  </si>
  <si>
    <t>10149/2021</t>
  </si>
  <si>
    <t>TED n. 008/2020</t>
  </si>
  <si>
    <t>Alta</t>
  </si>
  <si>
    <t>CATSER - 5908</t>
  </si>
  <si>
    <t>3.3.90.39.43</t>
  </si>
  <si>
    <t>Energia elétrica</t>
  </si>
  <si>
    <t>Serviço essencial a ser executado de forma contínua e destinado a atender necessidade permanente do CNJ</t>
  </si>
  <si>
    <t xml:space="preserve">040104 - SEEMP </t>
  </si>
  <si>
    <t>Somente execução</t>
  </si>
  <si>
    <t>11711/2019 ; 02702/2021 ; 01319/2021</t>
  </si>
  <si>
    <t>Contratos n. 52/2019 ; 11/2021 ; 09/2021</t>
  </si>
  <si>
    <t>04/07/2025 ; 01/10/2026 ; n/a</t>
  </si>
  <si>
    <t>CATSER - 4120</t>
  </si>
  <si>
    <t>3.3.90.39.44</t>
  </si>
  <si>
    <t>Água e esgoto</t>
  </si>
  <si>
    <t>11710/2019 ; 04409/2020</t>
  </si>
  <si>
    <t>Contratos n. 42/2019 ; 16/2020</t>
  </si>
  <si>
    <t>n/a</t>
  </si>
  <si>
    <t>CATSER - 22845</t>
  </si>
  <si>
    <t>3.3.90.37.04</t>
  </si>
  <si>
    <t>Manutenção Predial</t>
  </si>
  <si>
    <t>10739/2019</t>
  </si>
  <si>
    <t>Contrato n. 11/2020</t>
  </si>
  <si>
    <t>CATSER - 1627</t>
  </si>
  <si>
    <t>3.3.90.39.17</t>
  </si>
  <si>
    <t>Manutenção ar condicionado 514N</t>
  </si>
  <si>
    <t>01293/2023</t>
  </si>
  <si>
    <t>Contrato n. 16/2023</t>
  </si>
  <si>
    <t>Média</t>
  </si>
  <si>
    <t>CATSER - 2771</t>
  </si>
  <si>
    <t>3.3.90.39.16</t>
  </si>
  <si>
    <t>Manutenção elevadores 514N</t>
  </si>
  <si>
    <t>01001/2021</t>
  </si>
  <si>
    <t>Contrato n. 06/2021</t>
  </si>
  <si>
    <t>CATSER - 3557</t>
  </si>
  <si>
    <t>Item excluído</t>
  </si>
  <si>
    <t>3.3.90.37.01</t>
  </si>
  <si>
    <t>Prestação dos Serviços de Condução de Veículos</t>
  </si>
  <si>
    <t>Manter a operacionalidade dos serviços de transportes do CNJ</t>
  </si>
  <si>
    <t xml:space="preserve">040117 - SETRA </t>
  </si>
  <si>
    <t>12229/2023</t>
  </si>
  <si>
    <t>Contrato n. 38/2023</t>
  </si>
  <si>
    <t>CATSER - 15008</t>
  </si>
  <si>
    <t>3.3.90.30.01</t>
  </si>
  <si>
    <t>Sistema de gestão de frota-serviços de administração e gerenciamento compartilhado de frota para o fornecimento de combustíveis para veículos da frota</t>
  </si>
  <si>
    <t>03160/2021</t>
  </si>
  <si>
    <t>Contrato n. 17/2022</t>
  </si>
  <si>
    <t>CATSER - 25372</t>
  </si>
  <si>
    <t>3.3.90.39.19</t>
  </si>
  <si>
    <t>Sistema de gestão de frota-serviços de administração e gerenciamento compartilhado de frota para a manutenção preventiva e corretiva de veículos e equipamentos e higienização de veículos</t>
  </si>
  <si>
    <t>05433/2020</t>
  </si>
  <si>
    <t>Contrato n. 07/2021</t>
  </si>
  <si>
    <t>CATSER - 25518</t>
  </si>
  <si>
    <t>Contratação de serviços de manutenção de veículos para a frota do Conselho Nacional de Justiça-CNJ.</t>
  </si>
  <si>
    <t>Licitação</t>
  </si>
  <si>
    <t>03639/2023</t>
  </si>
  <si>
    <t>3.3.90.39.69</t>
  </si>
  <si>
    <t>Seguro da frota de veículos</t>
  </si>
  <si>
    <t>10283/2022</t>
  </si>
  <si>
    <t>Contrato n. 05/2023</t>
  </si>
  <si>
    <t>CATSER - 22764</t>
  </si>
  <si>
    <t>03702/2020</t>
  </si>
  <si>
    <t>Contrato n. 09/2020</t>
  </si>
  <si>
    <t>3.3.90.39.77</t>
  </si>
  <si>
    <t>Rastreamento de veículos</t>
  </si>
  <si>
    <t>SIM</t>
  </si>
  <si>
    <t>03732/2023</t>
  </si>
  <si>
    <t>Contrato n. 30/2023</t>
  </si>
  <si>
    <t>CATSER - 25410</t>
  </si>
  <si>
    <t>Instalação, Manutenção e Remanejamento de peças de Comunicação Visual das edificações do CNJ</t>
  </si>
  <si>
    <t>Atender as demandas das edificações do CNJ com relação a comunicação visual - identificação dos edifícios nas áreas externas e internas; sinalização e orientação dos fluxos de pessoas e veículos; atender às normas de sinalização de segurança; e atender às normas brasileiras de acessibilidade.</t>
  </si>
  <si>
    <t>040114 - SEART</t>
  </si>
  <si>
    <t>Não iniciado</t>
  </si>
  <si>
    <t>CATSER - 14249</t>
  </si>
  <si>
    <t>3.3.90.30.24</t>
  </si>
  <si>
    <t xml:space="preserve">Prestação de serviços de instalação, manutenção, remanejamento e montagem de divisórias, portas e respectivos acessórios, com fornecimento de material </t>
  </si>
  <si>
    <t>Atender às demandas de compartimentação de ambientes para garantir a segurança e funcionamento adequado dos edifícios.</t>
  </si>
  <si>
    <t>09727/2022</t>
  </si>
  <si>
    <t>ARP 03/2023</t>
  </si>
  <si>
    <t>CATSER - 15814</t>
  </si>
  <si>
    <t>4.4.90.52.51</t>
  </si>
  <si>
    <t>10155/2023</t>
  </si>
  <si>
    <t>3.3.90.30.22</t>
  </si>
  <si>
    <t>Aquisição de capachos personalizados para as unidades do CNJ.</t>
  </si>
  <si>
    <t>Preservar as instalações prediais do CNJ para garantir o seu funcionamento adequado.</t>
  </si>
  <si>
    <t>Contratação direta</t>
  </si>
  <si>
    <t>09730/2022</t>
  </si>
  <si>
    <t>CATMAT - 745</t>
  </si>
  <si>
    <t>4.4.90.52.42</t>
  </si>
  <si>
    <t>3.3.90.30.07</t>
  </si>
  <si>
    <t>Fornecimento de água mineral, sem gás e com gás</t>
  </si>
  <si>
    <t>Prover todo o Conselho Nacional de Justiça com água para consumo e ainda fornecer água em garrafas de 500 ml para autoridades que trabalham no órgão.</t>
  </si>
  <si>
    <t>040103 - SESER</t>
  </si>
  <si>
    <t>CATMAT - 19555</t>
  </si>
  <si>
    <t>11910/2023</t>
  </si>
  <si>
    <t>Fornecimento de frutas e gêneros alimentícios</t>
  </si>
  <si>
    <t>atender a demandas de Gêneros Alimentícios para distribuição de lanches nos dias de Sessão Plenária aos Conselheiros do Conselho Nacional de Justiça (CNJ).</t>
  </si>
  <si>
    <t>01186/2023</t>
  </si>
  <si>
    <t>Contratos n. 09/2023 ; 10/2023 ; 11/2023 ; 12/2023 ; 13/2023 ; 14/2023 ; 15/2023</t>
  </si>
  <si>
    <t>CATMAT - GRUPO 89</t>
  </si>
  <si>
    <t>Telefonista</t>
  </si>
  <si>
    <t>Atender as demandas para atendimento com o público externo, principalmente com projetos e campanhas do CNJ</t>
  </si>
  <si>
    <t>11489/2019</t>
  </si>
  <si>
    <t>Contrato n. 07/2020</t>
  </si>
  <si>
    <t>CATSER - 5380</t>
  </si>
  <si>
    <t>3.3.90.37.02</t>
  </si>
  <si>
    <t>Limpeza e manutenção</t>
  </si>
  <si>
    <t>Atender a limpeza, higienização e conservação de bens móveis e imóveis do CNJ</t>
  </si>
  <si>
    <t>12839/2019</t>
  </si>
  <si>
    <t>Contrato n. 13/2020</t>
  </si>
  <si>
    <t>CATSER - 23329</t>
  </si>
  <si>
    <t>3.3.90.39.78</t>
  </si>
  <si>
    <t>Serviços de dedetização</t>
  </si>
  <si>
    <t>Atender a emanda de serviços de controles de vetores e pragas urbanas</t>
  </si>
  <si>
    <t>02565/2023</t>
  </si>
  <si>
    <t>Contrato n. 33/2023</t>
  </si>
  <si>
    <t>CATSER - 3417</t>
  </si>
  <si>
    <t>3.3.90.39.46</t>
  </si>
  <si>
    <t>Serviços de lavanderia</t>
  </si>
  <si>
    <t>atender as demandas de serviços de lavanderia a fim de recolher, lavar e passar, forros, tolhas de mesa utilizados na Copa.</t>
  </si>
  <si>
    <t>CATSER - 19542</t>
  </si>
  <si>
    <t>Contratação Direta</t>
  </si>
  <si>
    <t>12436/2023</t>
  </si>
  <si>
    <t>Prestação de serviço de apoio na área de recepcionista</t>
  </si>
  <si>
    <t>atender as demandas em recepcionar o público interno e externo, atender as solicitações das unidades e organizar documentos, controlar agendas, controlar e acompanhar da entrada e saída de documentos e outras atividades afins.</t>
  </si>
  <si>
    <t>01768/2022</t>
  </si>
  <si>
    <t>Contrato n. 31/2022</t>
  </si>
  <si>
    <t>3.3.90.37.05</t>
  </si>
  <si>
    <t>Prestação de serviço de apoio na área de copeiragem</t>
  </si>
  <si>
    <t>atender as demandas de prestação de serviço de copeiragem, demandado diariamente e na realização de reuniões e eventos no âmbito do Conselho Nacional de Justiça, com entrega de água e café, bem como preparação de lanches para os conselheiros em dias de Sessão Plenária.</t>
  </si>
  <si>
    <t>05897/2022</t>
  </si>
  <si>
    <t>Contrato n. 37/2022</t>
  </si>
  <si>
    <t>3.3.90.40.14</t>
  </si>
  <si>
    <t>Prestação de serviços de telefonia móvel</t>
  </si>
  <si>
    <t>Prover Conselheiros, autoridades e servidores autorizados de solução corporativa de conectividade sem fio, para acesso à internet, correio eletrônico, mensagens de texto, que assegurem comunicação de voz e dados, via rede móvel, com tecnologia digital, em território nacional e internacional, permitindo livre movimentação e celeridade de comunicação.</t>
  </si>
  <si>
    <t>04823/2020</t>
  </si>
  <si>
    <t>Contrato n. 18/2020</t>
  </si>
  <si>
    <t>CATSER - 18139</t>
  </si>
  <si>
    <t>Prestação de serviços de telefonia fixa</t>
  </si>
  <si>
    <t>atender as demandas de Serviço Telefônico Fixo Comutado (STFC) nas modalidades Local, Longa Distância Nacional (LDN) e Longa Distância Internacional (LDI), que assegurem comunicação de voz por telefonia fixa, em território nacional e internacional.</t>
  </si>
  <si>
    <t>03848/2021</t>
  </si>
  <si>
    <t>Contratos n. 28/2021 ; 29/2021</t>
  </si>
  <si>
    <t>CATSER - 26140</t>
  </si>
  <si>
    <t>Prestação de serviço de apoio na área de secretariado</t>
  </si>
  <si>
    <t>A necessidade consiste em assegurar a prestação de serviço de apoio administrativo na área de secretariado. A contratação visa o atendimento às unidades administrativas do Conselho Nacional de Justiça, com vistas à execução de atribuições rotineiras, próprias da atividade de secretariado, não contempladas no Manual de Atribuições dos Cargos do órgão.</t>
  </si>
  <si>
    <t>06741/2021</t>
  </si>
  <si>
    <t>Contrato n. 02/2022</t>
  </si>
  <si>
    <t>Prestação de serviços de estocagem e carregamento de bens</t>
  </si>
  <si>
    <t>Atender as Unidades com pessoal de apoio administrativo para o desenvolvimento das atividades demandadas pelo CNJ, notadamente carregamento e estocagem de bens móveis. Valor acréscido de 8% sobre o valor da última repactuação (doc SEI 1508792), pois ter-se-a nova repactuação no começo do ano vindouro.</t>
  </si>
  <si>
    <t>040104 - SEMAP</t>
  </si>
  <si>
    <t>04338/2021</t>
  </si>
  <si>
    <t>Contrato n. 23/2022</t>
  </si>
  <si>
    <t>3.3.90.39.84</t>
  </si>
  <si>
    <t xml:space="preserve">Almoxarifado Virtual </t>
  </si>
  <si>
    <t>Prover as unidades dos meios necessários para desenvolvimento das atividades administrativas do CNJ. O valor para o ano de 2023 (R$ 43.713,90) se mostra aquém das necessidades atuais do órgão, sendo sugerido acréscimo de 20%.</t>
  </si>
  <si>
    <t>04962/2020</t>
  </si>
  <si>
    <t>Contrato n. 22/2021</t>
  </si>
  <si>
    <t>CATSER - 27685</t>
  </si>
  <si>
    <t>3.3.90.39.10</t>
  </si>
  <si>
    <t>Aluguel - Edífcio Premium</t>
  </si>
  <si>
    <t>Trata-se do contrato de locação da sede do órgão, sendo que o valor de de aluguel para o ano de 2023 é de R$ 12.264.000,00, para 2024 calcula-se sendo acréscido de 8,7% (mesmo acréscimo de 2022 para 2023)</t>
  </si>
  <si>
    <t>05134/2019</t>
  </si>
  <si>
    <t>Contrato n. 21/2019</t>
  </si>
  <si>
    <t>CATSER - 4316</t>
  </si>
  <si>
    <t>Seguro Predial - Edífcio Premium</t>
  </si>
  <si>
    <t xml:space="preserve">Trata-se de obrigação contratual, referente a locação da sede do órgão, com valor de 2023 acréscido em 10% para 2024. </t>
  </si>
  <si>
    <t>CATSER - 906</t>
  </si>
  <si>
    <t>Aquisição de mobiliário</t>
  </si>
  <si>
    <t>Prover as unidades dos meios necessários para desenvolvimento das atividades administrativas do CNJ, notadamente referente a mobiliário. Tal valor incluí a reforma dos refeitórios, processo SEI 08184/2022, orçado em aproximadamente R$ 70.000,00 (doc SEI 1523967)</t>
  </si>
  <si>
    <t>11363/2023</t>
  </si>
  <si>
    <t xml:space="preserve">CATMAT - GRUPO 71 </t>
  </si>
  <si>
    <t>4.4.90.52.18</t>
  </si>
  <si>
    <t>Aquisição de livros</t>
  </si>
  <si>
    <t xml:space="preserve">A contratação visa o atendimento das necessidades das unidades do CNJ com o fornecimento de publicações nacionais e estrangeiras atualizadas, na área jurídica e em outras áreas de interesse do órgão, nos formatos de publicações eletrônicas, bases de dados bibliográficos, audiobook (entregues em mídias de CD-ROM ou DVD) e publicações impressas. </t>
  </si>
  <si>
    <t>CATMAT - 14509</t>
  </si>
  <si>
    <t>3.3.90.30.00</t>
  </si>
  <si>
    <t>Aquisição de materiais de expediente, descartáveis e de consumo.</t>
  </si>
  <si>
    <t>Aquisição de Materiais de Expediente e/ou Materiais de Consumo, que não possam ser incluídos no Almoxarifado Virtual.</t>
  </si>
  <si>
    <t>CATMAT - GRUPO 75</t>
  </si>
  <si>
    <t>4.4.90.51.12</t>
  </si>
  <si>
    <t>Aquisição de eletrodomésticos</t>
  </si>
  <si>
    <t>Aquisição de eletrodomésticos para atendimento das necessidades do órgão</t>
  </si>
  <si>
    <t>CATMAT - CLASSE 7310</t>
  </si>
  <si>
    <t>3.3.90.39.20</t>
  </si>
  <si>
    <t>Reforma de sofás</t>
  </si>
  <si>
    <t>O órgão possui diversos sofás deteriorados, sendo mais econômico a reforma em comparação com a aquisição de novos</t>
  </si>
  <si>
    <t>CATSER - 17574</t>
  </si>
  <si>
    <t>3.3.90.39.96</t>
  </si>
  <si>
    <t>Suprimento de Fundos</t>
  </si>
  <si>
    <t>Atender demandas excepcionais e urgentes - um suprimento no valor de R$ 6.000,00 a cada 60 meses</t>
  </si>
  <si>
    <t>040115 - SECOM</t>
  </si>
  <si>
    <t>Suprimento de fundos</t>
  </si>
  <si>
    <t>3.3.90.39.01</t>
  </si>
  <si>
    <t>Renovação de assinatura da Ferramenta Banco de Preços</t>
  </si>
  <si>
    <t>Ferramenta auxiliar de pesquisa de preços</t>
  </si>
  <si>
    <t>08313/2023</t>
  </si>
  <si>
    <t>Contrato n. 37/2023</t>
  </si>
  <si>
    <t>CATSER - 21350</t>
  </si>
  <si>
    <t>Atualização do Sistema de Segurança do CNJ e aluguel de Leitores Biométricos</t>
  </si>
  <si>
    <t>Manter a segurança das instalações e da população do CNJ.</t>
  </si>
  <si>
    <t xml:space="preserve">040106 - SESIN </t>
  </si>
  <si>
    <t>CATSER - 14826</t>
  </si>
  <si>
    <t>Manutenção de Pórticos Detectores de Metais</t>
  </si>
  <si>
    <t>CATSER - 15792</t>
  </si>
  <si>
    <t xml:space="preserve">Serviço de chaveiro com fornecimento de material </t>
  </si>
  <si>
    <t>11748/2023</t>
  </si>
  <si>
    <t>CATSER - 5436</t>
  </si>
  <si>
    <t>Manutenção de extintores e de mangueiras.</t>
  </si>
  <si>
    <t>CATSER - 3662</t>
  </si>
  <si>
    <t>4.4.90.52.10</t>
  </si>
  <si>
    <t>Compra de Insumos para os cursos - ANSPJ</t>
  </si>
  <si>
    <t>Aparelhar a Academia Nacional de Segurança do Poder Judiciário, fim realização de treinamento com baixo custo.</t>
  </si>
  <si>
    <t>3.3.90.36.28</t>
  </si>
  <si>
    <t>Cursos e Acordo de Cooperação ANP</t>
  </si>
  <si>
    <t xml:space="preserve">Promover a capacitação contínua </t>
  </si>
  <si>
    <t>CATSER - 17663</t>
  </si>
  <si>
    <t>3.3.90.37.07</t>
  </si>
  <si>
    <t>Prestação de serviços de brigadistas</t>
  </si>
  <si>
    <t>04639/2022</t>
  </si>
  <si>
    <t>Contrato n. 32/2022</t>
  </si>
  <si>
    <t>CATSER - 25550</t>
  </si>
  <si>
    <t>3.3.90.37.03</t>
  </si>
  <si>
    <t>Prestação de serviços de vigilância</t>
  </si>
  <si>
    <t>04490/2018</t>
  </si>
  <si>
    <t>Contrato n. 06/2019</t>
  </si>
  <si>
    <t>CATSER - 23507</t>
  </si>
  <si>
    <t>07611/2023</t>
  </si>
  <si>
    <t>3.3.90.33.01</t>
  </si>
  <si>
    <t>Contrato atual. Prestação de serviço de agenciamento de viagens, compreendendo os serviços de emissão, remarcação e cancelamento de passagens aéreas nacionais e internacionais e de emissão de seguro de assistência em viagem internacional, para o CNJ.</t>
  </si>
  <si>
    <t>Permitir a execução dos projetos do CNJ, incluindo-se atividades do DMF, Corregedoria Nacional de Justiça, cursos, congressos, seminários e eventos diversos, trabalho das comissões, assim como oferecer estrutura para estadia de Conselheiros não residentes em Brasília a participarem de sessões plenários e conduzirem trabalhos em seus gabinetes e atender ao direito de cota mensal de retorno ao local de origem aos juízes auxiliares.</t>
  </si>
  <si>
    <t>040105 - SEPAD</t>
  </si>
  <si>
    <t>VII, IX e XI</t>
  </si>
  <si>
    <t>04942/2019</t>
  </si>
  <si>
    <t>Contrato n. 25/2019</t>
  </si>
  <si>
    <t>CATSER - 25828</t>
  </si>
  <si>
    <t>Contrato futuro. Prestação de serviço de agenciamento de viagens, compreendendo os serviços de emissão, remarcação e cancelamento de passagens aéreas nacionais e internacionais e de emissão de seguro de assistência em viagem internacional, para o CNJ.</t>
  </si>
  <si>
    <t>Necessidade de nova contratação motivada pelo atingimento do limite de 60 meses da contratação anterior. A contratação proposta visa o provimento de solução para o deslocamento à serviço, mediante transporte aéreo, dos membros, servidores, colaboradores e colaboradores eventuais do CNJ, dentro e fora do território nacional.</t>
  </si>
  <si>
    <t>00524/2024</t>
  </si>
  <si>
    <t>Prestação de serviços de apoio administrativo na área de cerimonial, por meio de postos de trabalho</t>
  </si>
  <si>
    <t>Prover tecnicamente a SCE de apoio administrativo na realização de eventos institucionais conduzidos e/ou apoiados pelo CNJ dentro e fora de Brasília-DF. Valor ajustado conforme Minuta da 1ª Apostila (Repactuação) - SEI 1413460e valor do IPCA indicado.</t>
  </si>
  <si>
    <t>040109 - SCE</t>
  </si>
  <si>
    <t>VII</t>
  </si>
  <si>
    <t>01673/2019</t>
  </si>
  <si>
    <t>Contrato n. 36/2019</t>
  </si>
  <si>
    <t>07127/2023</t>
  </si>
  <si>
    <t>3.3.90.39.23</t>
  </si>
  <si>
    <t>Prestação de serviços de planejamento, organização e fornecimento de infraestrutura necessária à realização de eventos institucionais originários e/ou apoiados pelo CNJ</t>
  </si>
  <si>
    <t>Necessidade de contratação de empresa que disponha dos materiais e serviços indispensáveis ao planejamento operacional, organização, execução e acompanhamento dos eventos institucionais originários e/ou apoiados pelo CNJ. Há previsão de realização de diversos eventos que já fazem parte do Calendário  anual do CNJ, como Jornada Maria da Penha, Reuniões Preparatórias para o Encontro Nacional do Poder Judiciário, Prêmio Conciliar é Legal, Encontro Nacional do PJE, Fórum Nacional da Saúde, Encontro Nacional do Poder Judiciário, Fórum Fundiário, Semana Nacional da Conciliação, dentre outros, além de reuniões e encontros em todo o Brasil. Valor ajustado conforme IPCA indicado.</t>
  </si>
  <si>
    <t>09811/2023</t>
  </si>
  <si>
    <t>CATSER - 14591</t>
  </si>
  <si>
    <t>Contratação de serviços de tradução simultânea e de libras, com os respectivos equipamentos.</t>
  </si>
  <si>
    <t>Prover o CNJ com serviços de tradução e interpretação simultânea ou consecutiva, de idiomas estrangeiros para a língua portuguesa; bem como da língua portuguesa para idiomas estrangeiros; compreendendo, quando aplicável, a locação de equipamentos de áudio para tradução verbal, tradução de laudas, intérprete de libras (língua brasileira de sinais) para a língua portuguesa e vice-versa, nas formas simultânea ou consecutiva.</t>
  </si>
  <si>
    <t>05943/2022</t>
  </si>
  <si>
    <t>Contrato n. 06/2023</t>
  </si>
  <si>
    <t>CATSER - 12637</t>
  </si>
  <si>
    <t>4.4.90.52.06</t>
  </si>
  <si>
    <t>Aquisição de rádios comunicadores digitais</t>
  </si>
  <si>
    <t xml:space="preserve">Integrar a comunicação de toda a equipe de organização dos eventos institucionais do CNJ, permitindo uma comunicação rápida e eficaz. Valor estimado para aquisição de 10 (dez) rádios comunicadores digitais, conforme orçamentos recebidos Processo 01212/2022 e 08924/2022) </t>
  </si>
  <si>
    <t>02185/2023</t>
  </si>
  <si>
    <t>CATMAT - CLASSE 5820</t>
  </si>
  <si>
    <t>3.3.90.31.99</t>
  </si>
  <si>
    <t>Aquisição de troféus e placas, sob demanda</t>
  </si>
  <si>
    <t>Necessidade de aquisição de troféus e placas para atender os eventos institucionais originários e/ou apoiados pelo CNJ. Por exemplo: Ranking da Transparência, CNJ de Qualidade, Prêmio Juíza Viviane do Amaral e Prêmio Memória do Poder Judiciário. Valor estimado conforme média de pesquisas de preços de mercado (SEI 04243/2022). Valor ajustado conforme IPCA indicado.</t>
  </si>
  <si>
    <t>11063/2023</t>
  </si>
  <si>
    <t>CATMAT - 1453</t>
  </si>
  <si>
    <t>Prestação de serviços de almoço, coquetel e coffee break , sob demanda</t>
  </si>
  <si>
    <t>Necessidade de contratação de serviços de almoço, coquetel e coffee break, sob demanda, para atendimento de eventos institucionais originários e/ou apoiados pelo CNJ.</t>
  </si>
  <si>
    <t>CATSER - 3697</t>
  </si>
  <si>
    <t>3.3.90.36.07</t>
  </si>
  <si>
    <t>Programa de Estágio Supervisionado do CNJ</t>
  </si>
  <si>
    <t>Valor total para as despesas com 110 estagiários de nível superior. O valor da Bolsa de Estágio de Nível Superior é de R$ 976,00 e taxa de administração de estagiário de R$ 10,43 (valor atualmente pago no Cto 15/2020 + a previsão de reajuste de 5% de IPCA sobre a taxa administrativa) + auxílio transporte de R$ 11, 55 por dia (R$ 11,00 pagos atualmente, acrescido de 5% do IPCA), prevendo-se o valor total de R$ 1.744.859,60. Memória de cálculo conforme documento SEI n. xxxx. o cálculo está de acordo com a atualização pelo IPCA em relação ao PROPOSTO no último ano.</t>
  </si>
  <si>
    <t>040112 - SGP</t>
  </si>
  <si>
    <t>XVI</t>
  </si>
  <si>
    <t>00097/2019</t>
  </si>
  <si>
    <t>Contrato n. 15/2020</t>
  </si>
  <si>
    <t>CATSER - 15156</t>
  </si>
  <si>
    <t>Prestação de serviço de apoio administrativo na área de assistência materno-infantil (CEAME)</t>
  </si>
  <si>
    <t>Necessidade de nova licitação para realinhamento do valor do contrato com o valor praticado no mercado e novo salário previsto em CCT e atendimento de 15 usuários no Ceame. Valor anual calculado com base no valor estimado da licitação que estava em andamento no Processo SEI n. 08544/2019 (atualmente sobrestada), considerando o funcionamento do CEAME durantes 12 meses em 2024. Os valores salarais foram revisados de acordo com as novas CCTs e também foi realizado acréscimo de 5% nos valores de alguns salários (que não tem CCT ativa) e no valor dos uniformes. Ainda, foi calculado um acréscimo de 8%, referente à projeção do IPCA para 2022.</t>
  </si>
  <si>
    <t>08544/2019</t>
  </si>
  <si>
    <t>3.3.91.39.90</t>
  </si>
  <si>
    <t>Contrato de Distribuição de Publicidade Legal</t>
  </si>
  <si>
    <t>Cumprimento do §1º do artigo 54 da Lei 14.133/2021, que instituiu a obrigatoriedade de publicação do extrato dos editais de licitação em jornal diário de grande circulação</t>
  </si>
  <si>
    <t>040127 - CPC</t>
  </si>
  <si>
    <t>09879/2022</t>
  </si>
  <si>
    <t>Contrato n. 04/2023</t>
  </si>
  <si>
    <t>CATSER - 10049</t>
  </si>
  <si>
    <t>0002</t>
  </si>
  <si>
    <t>3.3.90.33.00</t>
  </si>
  <si>
    <t>CN</t>
  </si>
  <si>
    <t>Passagens</t>
  </si>
  <si>
    <t>Passagens concedidas à Corregedora, aos Juízes Auxiliares e aos servidores para afastamento da sede do serviço para realização de inspeção ou correição, bem como para o deslocamento da Corregedora e dos Juízes Auxiliares na sede do Conselho Nacional de Justiça (Instrução Normativa n. 10/2010, arts. 21 e 23)</t>
  </si>
  <si>
    <t>V</t>
  </si>
  <si>
    <t>0003</t>
  </si>
  <si>
    <t>3.3.90.40.11</t>
  </si>
  <si>
    <t>DTI</t>
  </si>
  <si>
    <t>Prestação presencial de serviços, sob demanda, de desenvolvimento e manutenção de software com práticas ágeis. Contrato 13/2021. SEI 05539/2021.</t>
  </si>
  <si>
    <t>Sustentação de Soluções de TIC do Portfólio. Ex: Pje, BNMP, DATAJUD, SEI, SGRH, entre outros</t>
  </si>
  <si>
    <t>IX</t>
  </si>
  <si>
    <t>05539/2021</t>
  </si>
  <si>
    <t>Contrato n. 13/2021</t>
  </si>
  <si>
    <t>CATSER - 30001</t>
  </si>
  <si>
    <t>3.3.90.40.17</t>
  </si>
  <si>
    <t>Contrato de Nuvem atual. Contrato 34/2022</t>
  </si>
  <si>
    <t>Necessidade de modernizar o parque tecnológico, adotando nova abordagem para sua infraestrutura de TIC, no caso do presente projeto, ensejando maior economicidade, agilidade, proteção, segurança e alta disponibilidade na hospedagem de sistemas e projetos estratégicos de interesse social.</t>
  </si>
  <si>
    <t>10958/2022</t>
  </si>
  <si>
    <t>Contrato n. 34/2022</t>
  </si>
  <si>
    <t>CATSER - 27081</t>
  </si>
  <si>
    <t>Futuro Contrato de Nuvem. Substituto do Contrato 34/2022.</t>
  </si>
  <si>
    <t>06309/2023</t>
  </si>
  <si>
    <t>Prestação de Serviço de sustentação do Ambiente Tecnológico do CNJ. Substituto do contrato 31/2020.</t>
  </si>
  <si>
    <t>Manter a infraestrutura tecnológica de TIC do CNJ. Responsável pelas aplicações, serviços de TIC, Bancos de Dados e infraestrutura de redes.</t>
  </si>
  <si>
    <t>07058/2021</t>
  </si>
  <si>
    <t>CATSER - 27014</t>
  </si>
  <si>
    <t>Prestação de serviços técnicos para eventual prestação de apoio às atividades de planejamento, processos e gerenciamento de projetos em Tecnologia da Informação, a fim de atender às demandas do CNJ. Contrato 03/2020 - MEMORA</t>
  </si>
  <si>
    <t>Atividades de suporte à Gestão e Governança. Apoio na elaboração de Pareceres, Estudos, no monitoramento de Projetos, entre outros</t>
  </si>
  <si>
    <t>02897/2019</t>
  </si>
  <si>
    <t>Contrato n. 03/2020</t>
  </si>
  <si>
    <t>CATSER - 27260</t>
  </si>
  <si>
    <t>3.3.90.40.21</t>
  </si>
  <si>
    <t>Prestação dos serviços técnicos especializados de pesquisa e aconselhamento imparcial em Tecnologia da Informação, na forma de assinaturas para acesso a bases de conhecimentos, bem como serviços complementares de apoio à consulta, interpretação e aplicação das informações contidas nas referidas bases. Contrato 29/2020 - GARTNER</t>
  </si>
  <si>
    <t>Suporte à Gestão e Governança. Aconselhamento e elaboração de estudos de TIC</t>
  </si>
  <si>
    <t>03480/2020</t>
  </si>
  <si>
    <t>Contrato n. 29/2020</t>
  </si>
  <si>
    <t>CATSER - 22918</t>
  </si>
  <si>
    <t>3.3.90.40.06</t>
  </si>
  <si>
    <t xml:space="preserve">Prestação do fornecimento de subscrição Elastic Cloud Enterprise Contrato 05/2020 - ASPER </t>
  </si>
  <si>
    <t>Datajud</t>
  </si>
  <si>
    <t>13700/2019</t>
  </si>
  <si>
    <t>Contrato n. 05/2020</t>
  </si>
  <si>
    <t>CATSER - 27073</t>
  </si>
  <si>
    <t>Serviços especializados "elastic cloud enterprise" - Contrato 43/2019</t>
  </si>
  <si>
    <t>O CNJ conseguirá ter maiores insumos para definições de políticas nacionais para o Judiciário</t>
  </si>
  <si>
    <t>06964/2019</t>
  </si>
  <si>
    <t>Contrato n. 43/2019</t>
  </si>
  <si>
    <t>Licenças Microsoft (Office 365, Windows e outros) - Contrato 32/2021 Substituto do Contrato 32/2021 - SEI 02875/2021</t>
  </si>
  <si>
    <t xml:space="preserve">Necessário para: manter todas as ferramentas de colaboração / manter as ferramentas de produtividade online / possibilitar a instalação do office nos computadores / Licenciar os pcs com Windows / Manter os portáteis seguros com o Security Mobile / Manter o licenciamento do servidores windows e sql server ativos / manter licenciamento de visio online / Permitir reuniões e eventos do CNJ. atender </t>
  </si>
  <si>
    <t>02875/2021</t>
  </si>
  <si>
    <t>Contrato n. 32/2021</t>
  </si>
  <si>
    <t>CATSER - 27502</t>
  </si>
  <si>
    <t>3.3.90.40.07</t>
  </si>
  <si>
    <t>Prestação do serviço de manutenção, com suporte e atualização de versões para o Sistema Gerenciador de Banco de Dados (SGBD - Oracle) - Contrato 01/2022</t>
  </si>
  <si>
    <t>SGBD Oracle abriga sistemas essenciais ao funcionamento deste Conselho, onde podemos citar alguns, tais como: PJE Mídias; Audiência Digital; Gestão de Desempenho; Sistema Integrado do Conselho Nacional de Justiça; Escritório Digital; Siga; Malote Digital; Mediação Digital; Sistema de Ouvidoria; Sistema Siga Frota; Sistema Gestor de Recursos Humanos; entre outros</t>
  </si>
  <si>
    <t>00445/2021</t>
  </si>
  <si>
    <t>Contrato n. 01/2022</t>
  </si>
  <si>
    <t>Prestação do serviço de manutenção, com suporte e atualização de versões para o Sistema Gerenciador de Banco de Dados (SGBD - Oracle) - Substituto do Contrato 01/2022</t>
  </si>
  <si>
    <t>Prestação de serviços de manutenção preventiva, corretiva e evolutiva da Sala Cofre (célula) com certificação ABNT NBR 15.247 (Grupo 1) - Substituto do Contrato 19/2018 - ACECO</t>
  </si>
  <si>
    <t>Garantir a manutenção da sala cofre e subsistemas da célula</t>
  </si>
  <si>
    <t>10172/2022</t>
  </si>
  <si>
    <t>CATSER - 20710</t>
  </si>
  <si>
    <t>3.3.90.40.16</t>
  </si>
  <si>
    <t>Outsourcing de Impressão - Substituto Contrato 14/2019</t>
  </si>
  <si>
    <t>Necessário para: realizar impressões e digitalização dos documentos do CNJ sem a necessidade de termos o custo com as impressoras e os consumíveis</t>
  </si>
  <si>
    <t>01317/2021</t>
  </si>
  <si>
    <t>Contrato n. 25/2022</t>
  </si>
  <si>
    <t>CATSER - 26867</t>
  </si>
  <si>
    <t>3.3.90.40.12</t>
  </si>
  <si>
    <t>Prestação de serviços técnicos de manutenção em ativos de microinformática e execução continuada de atividades de suporte técnico - Contrato 22/2022</t>
  </si>
  <si>
    <t>Necessário para: Manutenção em todos os equipamentos de TI fornecido para os usuários / Controle de Guias / Controle de entrada e saída de equipamentos / Confecção de laudos técnicos</t>
  </si>
  <si>
    <t>02474/2021</t>
  </si>
  <si>
    <t>Contrato n. 22/2022</t>
  </si>
  <si>
    <t>CATSER - 27103</t>
  </si>
  <si>
    <t>Prestação de serviços técnicos de manutenção em ativos de microinformática e execução continuada de atividades de suporte técnico - Substituto do Contrato 22/2022</t>
  </si>
  <si>
    <t>3.3.90.40.13</t>
  </si>
  <si>
    <t xml:space="preserve">Prestação dos serviços de link de comunicação para interligação das unidades descentralizadas do CNJ. - Contrato 06/2020 SERPRO </t>
  </si>
  <si>
    <t>Garantir a conectividade entre a sede (SAFS), Sala cofre (514 norte) e STF.</t>
  </si>
  <si>
    <t>00436/2020</t>
  </si>
  <si>
    <t>Contrato n. 06/2020</t>
  </si>
  <si>
    <t xml:space="preserve">Prestação dos serviços de link de comunicação para interligação das unidades descentralizadas do CNJ. - Substituto do Contrato 06/2020 SERPRO </t>
  </si>
  <si>
    <t>Prestação de serviço de suporte das Licenças QliK. Contrato 47/2019</t>
  </si>
  <si>
    <t>Sustentação de paineis de informação como: Portal de Estatísticas, Justiça em Números, Módulo de Produtividade, entre outros.
O Qlik é a ferramenta de BI (View e Sense) consolidada no CNJ desde 2015 que permite transformar dados vindos de fontes diferentes em conhecimento de negócio, propiciando tomadas de decisões mais precisas e criando novas oportunidades para os gestores.</t>
  </si>
  <si>
    <t>14128/2019</t>
  </si>
  <si>
    <t>Contrato n. 47/2019</t>
  </si>
  <si>
    <t>Suporte Técnico para Solução de Telefonia VoIP</t>
  </si>
  <si>
    <t xml:space="preserve">Garantir que a solução de telefonia VOIP tenha suporte técnico apropriado para que os serviços telefônicos disponibilizados aos usuários do CNJ não sofram indisponibilidade. </t>
  </si>
  <si>
    <t>01015/2022</t>
  </si>
  <si>
    <t>Contrato n. 29/2023</t>
  </si>
  <si>
    <t>CATSER - 26980</t>
  </si>
  <si>
    <t>Serviços de manutenção preventiva, corretiva e evolutiva dos subsistemas de alimentação elétrica (UPS e Geradores) da sala cofre (grupo 2). - Substituto do Contrato 21/2018 - Power Safety</t>
  </si>
  <si>
    <t>Garantir a manutenção dos geradores e no-breaks que dão suporte a sala cofre</t>
  </si>
  <si>
    <t>CATSER - 19810</t>
  </si>
  <si>
    <t>Serviços técnicos de monitoramento, operação e controle do ambiente tecnológico do CNJ. Substituto do Contrato 31/2018</t>
  </si>
  <si>
    <t>O contrato de monitoramento, operação e controle tem por finalidade manter a disponibilidade dos serviços mantidos pelo CNJ 24x7</t>
  </si>
  <si>
    <t>02586/2023</t>
  </si>
  <si>
    <t>Contratação de solução de rede sem fio para substituição e ampliação do atual sistema de rede do Conselho Nacional de Justiça (Solução Wireless)</t>
  </si>
  <si>
    <t>Atualizar a solução de rede sem fio do CNJ</t>
  </si>
  <si>
    <t>05913/2021</t>
  </si>
  <si>
    <t>Contrato n. 07/2023</t>
  </si>
  <si>
    <t>CATSER - 27022</t>
  </si>
  <si>
    <t>Serviços de fornecimento de créditos do Azure Monetary Commitment - Contrato 20/2022</t>
  </si>
  <si>
    <t xml:space="preserve">Prover a continuidade do serviço de atendimento ao cidadão por videoconferência denominado “balcão virtual”, a operacionalização do Company, e também atender a demanda da Corregedoria Nacional de créditos da plataforma Azure para serviços de criação de chatbot de suporte aos sistemas da Corregedoria, especialmente PJeCor.
</t>
  </si>
  <si>
    <t>08599/2021</t>
  </si>
  <si>
    <t>Contrato n. 20/2022</t>
  </si>
  <si>
    <t>Serviços de Suporte Técnico para Equipamentos de Armazenagem de Dados (Storage Huawei)</t>
  </si>
  <si>
    <t>Manter a infraestrutura do ambiente</t>
  </si>
  <si>
    <t>09620/2021</t>
  </si>
  <si>
    <t>Contrato n. 35/2022</t>
  </si>
  <si>
    <t>CATSER - 27413</t>
  </si>
  <si>
    <t>Serviços de Suporte Técnico para Equipamentos de Armazenagem de Dados (Storage Huawei) - Substituto do Contrato n. 35/2022</t>
  </si>
  <si>
    <t xml:space="preserve">Serviços de sustentação da subscrição de software online para apoio ao escritório de projetos, gerente de projetos, atividades, e geração de relatórios nativos pela solução e consultoria em implantação. - Contrato 21/2022 </t>
  </si>
  <si>
    <t>Sustentação ao Portfólio de Projetos de TIC do CNJ</t>
  </si>
  <si>
    <t>06738/2021</t>
  </si>
  <si>
    <t xml:space="preserve">Contrato n. 21/2022 </t>
  </si>
  <si>
    <t>Serviços de Suporte Appliance Backup. - Substituto do Contrato 38/2021 - JAMC Consultoria</t>
  </si>
  <si>
    <t>Serviços de suporte técnico para a fitoteca - Contrato 03/2022</t>
  </si>
  <si>
    <t>01203/2021</t>
  </si>
  <si>
    <t>Contrato n. 03/2022</t>
  </si>
  <si>
    <t>Serviços de suporte técnico para a fitoteca - Substituto do Contrato 03/2022</t>
  </si>
  <si>
    <t>Serviços de Reabastecimento dos Tanques do Gerador - Substituto do Contrato 20/2018 - DATACENTER</t>
  </si>
  <si>
    <t>Garantir o funcionamento dos geradores</t>
  </si>
  <si>
    <t>CATSER - 2356</t>
  </si>
  <si>
    <t>Serviços de links de internet com serviço de proteção a DDOS ( Link 1, redundante ao link 2) - Contrato 27/2020 - ConnectX -</t>
  </si>
  <si>
    <t>Manter o acesso à internet</t>
  </si>
  <si>
    <t>10681/2020</t>
  </si>
  <si>
    <t>Contrato n. 27/2020</t>
  </si>
  <si>
    <t>CATSER - 26174</t>
  </si>
  <si>
    <t>Serviços de links de internet com serviço de proteção a DDOS (Link 2, redundante ao link 1) - Contrato 28/2020 - RD Telecom</t>
  </si>
  <si>
    <t>10683/2020</t>
  </si>
  <si>
    <t>Contrato n. 28/2020</t>
  </si>
  <si>
    <t>Serviços de Manutenção do Parque de Computadores Servidores do CNJ (Dell e HP) - Substituto do Contrato 31/2021</t>
  </si>
  <si>
    <t>Soluções de TIC do Portfólio de TIC, exceto os sistemas hospedados na nuvem</t>
  </si>
  <si>
    <t>CATSER - 27359</t>
  </si>
  <si>
    <t>4.4.90.52.35</t>
  </si>
  <si>
    <t>Solução de armazenamento de dados</t>
  </si>
  <si>
    <t>Considerando que as soluções de armazenamento de dados (Storages) do CNJ estão atualmente com grande parte da capacidade ocupada, e já possuem um considerável tempo de uso (não estão mais em garantia do fabricante), faz-se necessário estudar uma solução para substituição dos equipamentos atuais, seja por nova aquisição de storage, ou por expansão de solução já existente.</t>
  </si>
  <si>
    <t>CATSER - 27057</t>
  </si>
  <si>
    <t>Sistema Informatizado de Gestão de Pessoas</t>
  </si>
  <si>
    <t xml:space="preserve">Risco no processamento da Folha de Pagamento do CNJ. SEI n. 02820/2022. Para gerenciar os eventos de pessoal e gerar a Folha de Pagamento, o Conselho Nacional de Justiça (CNJ) conta hoje com o Sistema de Gestão de Recursos Humanos – SGRH, desenvolvido há mais de vinte anos, em uma estrutura já considerada ultrapassada para os padrões atuais, o que vem dificultando a manutenção e a evolução de suas funcionalidades. </t>
  </si>
  <si>
    <t>02820/2022</t>
  </si>
  <si>
    <t>CATSER - 27006</t>
  </si>
  <si>
    <t>TED 08/2020 (STF e CNJ) - Utilização de uma área equivalente a 11,8 metros quadrados do espaço total da sala cofre principal do STF</t>
  </si>
  <si>
    <t>Manter contingência da solução de backup utilizada pelo CNJ</t>
  </si>
  <si>
    <t>10014/2020</t>
  </si>
  <si>
    <t>TED 08/2020</t>
  </si>
  <si>
    <t>3.3.90.40.10</t>
  </si>
  <si>
    <t>Nova Contratação de serviço de Central de Serviços. (Em substituição do Contrato 35/2021)</t>
  </si>
  <si>
    <t>Valor em conformidade com o Mapa de Preços 1479797, previstos 4 meses de execução em 2023.
Necessário para: Realizar atendimento aos usuários internos e externos e suporte aos sistemas nacionais / Implantar disciplinas ITIL / Realizar Curadoria do ChatBOT / Implantar base de conhecimento / Fornecer nova ferramenta de ITSM / Acompanhar sessão plenario / Realizar controle de identidades</t>
  </si>
  <si>
    <t>07219/2022</t>
  </si>
  <si>
    <t>Contrato n. 35/2023</t>
  </si>
  <si>
    <t>Subscrição de licenças de uso de softwares Adobe com atualização na modalidade ETLA (36 meses). Substituto do Contrato 34/2021 – SEI 01002/2021</t>
  </si>
  <si>
    <t>Subscrição de licenças de uso de softwares Adobe com atualização na modalidade ETLA , pelo período de 36 meses. Atendimento das demandas da SCE e SPR, conforme formulário “Levantamento de Demandas das Áreas de Negócio para a elaboração da Proposta Orçamentária de TIC – 2024”, Processo SEI 02505/2023, para aquisição de licenças Adobe Acrobat.</t>
  </si>
  <si>
    <t>Licença de solução de desenhos de CAD (computer aided design). AEC Collection (AUTOCAD e REVIT) (36 meses). Substituto do Contrato 21/2021 – SEI 01789/2020</t>
  </si>
  <si>
    <t>Solução de Gestão de Processos de Negócio (BPMS - Business Process Management Software/Suite)</t>
  </si>
  <si>
    <t>Implantação de ferramenta integrada de gestão de processos. A solução não visa unicamente a utilização da ferramenta na SEGPP, visto que o objetivo é a adoção de uma ferramenta integrada para gestão dos processos de TIC do DTI.</t>
  </si>
  <si>
    <t>Licenças Microsoft para as áreas negociais</t>
  </si>
  <si>
    <t>Atendimento das demandas do ECP, DMF, DPJ, ECP e COAD/SAU, conforme formulário “Levantamento de Demandas das Áreas de Negócio para a elaboração da Proposta Orçamentária de TIC – 2024”, Processo SEI 02505/2023, para aquisição e manutenção de licenças Microsoft Project, Power BI, Power APPs, Power Automate.</t>
  </si>
  <si>
    <t>4.4.90.52.41</t>
  </si>
  <si>
    <t xml:space="preserve">Aquisição de computadores de Alto desempenho </t>
  </si>
  <si>
    <t>Atendimento das demandas da SCS, conforme formulário “Levantamento de Demandas das Áreas de Negócio para a elaboração da Proposta Orçamentária de TIC – 2024”, Processo SEI 02505/2023, para aquisição de 16 computadores de alto desempenho para uso dos designers, redatores publicitários e fotógrafos.</t>
  </si>
  <si>
    <t>CATMAT - 6661</t>
  </si>
  <si>
    <t>Transferido para outras ações orçamentárias</t>
  </si>
  <si>
    <t>SEG0</t>
  </si>
  <si>
    <t xml:space="preserve">Serviços Gerenciados de Segurança da Informação (MSS) - Substituto do Contrato 08/2021 - ISH </t>
  </si>
  <si>
    <t>Manter a segurança dos recursos de TIC</t>
  </si>
  <si>
    <t>CATSER - 27340</t>
  </si>
  <si>
    <t>Serviços e soluções para adequação do CNJ à Lei 13.709/2018, Lei Geral de Proteção de Dados (LGPD) - 02094/2021</t>
  </si>
  <si>
    <t>Manter a conformidade com a LGPD</t>
  </si>
  <si>
    <t>02094/2021</t>
  </si>
  <si>
    <t>Contrato n. 27/2022</t>
  </si>
  <si>
    <t>Serviços e soluções para adequação do CNJ à Lei 13.709/2018, Lei Geral de Proteção de Dados (LGPD) - Substituto do Contrato 27/2022 - SEI 02094/2021</t>
  </si>
  <si>
    <t>Serviços de Apoio Técnico da Solução GRC ( Governança Riscos e Compliance) - Contrato 10/2022</t>
  </si>
  <si>
    <t>Manter a segurança das aplicações e ativos que compõem o Portfólio de TIC. Operacionalizar a Gestão de Riscos e a Gestão da Continuidade de Serviços Essenciais de TIC.</t>
  </si>
  <si>
    <t>01619/2021</t>
  </si>
  <si>
    <t>Contrato n. 10/2022</t>
  </si>
  <si>
    <t>Serviços de Apoio Técnico da Solução GRC ( Governança Riscos e Compliance) - Substituto do Contrato 10/2022</t>
  </si>
  <si>
    <t>Serviços de Provimento de solução de segurança de inteligência cibernética - Contrato 38/2019 - ZERUM</t>
  </si>
  <si>
    <t>Manter a segurança aos recursos de TIC</t>
  </si>
  <si>
    <t>00414/2018</t>
  </si>
  <si>
    <t>Contrato n. 38/2019</t>
  </si>
  <si>
    <t>Serviços de Provimento de solução de segurança de inteligência cibernética - Substituto do Contrato 38/2019 - ZERUM</t>
  </si>
  <si>
    <t>Solução de análise de vulnerabilidades do Conselho Nacional de Justiça (CNJ) - Substituto do Contrato 26/2021</t>
  </si>
  <si>
    <t>Manter a segurança das aplicações que compõem o Portfólio de TIC</t>
  </si>
  <si>
    <t>Solução de Segurança de Perímetro de Rede (Serviço de Suporte Técnico on site/remoto para toda a solução Fortinet e seus componentes.)</t>
  </si>
  <si>
    <t>03987/2022</t>
  </si>
  <si>
    <t>Contrato n. 01/2023</t>
  </si>
  <si>
    <t>Serviços de Garantia Técnica e Treinamento (WAF) - de solução de firewall de aplicação Web (WAF). Contrato 01982/2021</t>
  </si>
  <si>
    <t>01982/2021</t>
  </si>
  <si>
    <t>CATSER - 27740</t>
  </si>
  <si>
    <t>3.3.90.40.23</t>
  </si>
  <si>
    <t>Serviços de emissão de certificados digitais padrão ICP-Brasil, incluindo visitas para sua emissão, bem como o fornecimento de dispositivos tokens USB para armazenamento. - Substituto do Contrato 30/2020 - Soluti</t>
  </si>
  <si>
    <t>Possibilitar acesso aos serviços que exigem o certificado digital como meio de acesso</t>
  </si>
  <si>
    <t>09278/2023</t>
  </si>
  <si>
    <t>CATSER - 27227</t>
  </si>
  <si>
    <t>Expansão da solução de Inteligência Cibernética</t>
  </si>
  <si>
    <t>Propiciar expansão da ferramenta de busca parametrizada de dados e informações em todo o ambiente institucional do CNJ.</t>
  </si>
  <si>
    <t>CATSER - 27324</t>
  </si>
  <si>
    <t>3.3.90.40.22</t>
  </si>
  <si>
    <t>4.4.90.40.06</t>
  </si>
  <si>
    <t>Aquisição de Solução de Firewall de Aplicação WEB (WAF) - 01982/2021</t>
  </si>
  <si>
    <t>Contratação de solução/serviço de gestão de acesso privilegiado (PAM)</t>
  </si>
  <si>
    <t>Proteção de credenciais privilegiadas</t>
  </si>
  <si>
    <t>Contratação de solução/serviço de gestão de vulnerabilidades de containers</t>
  </si>
  <si>
    <t>Falta de gestão de vulnerabilidades de infraestrutura de containers</t>
  </si>
  <si>
    <t>Contratação de licenças E5 Security da Microsoft 365</t>
  </si>
  <si>
    <t>Necessidade de inclusão de ferramentas avançadas de segurança para ambiente Windows e Office 365</t>
  </si>
  <si>
    <t>0006</t>
  </si>
  <si>
    <t>DPJ</t>
  </si>
  <si>
    <t>Minha Biblioteca - COIN</t>
  </si>
  <si>
    <t xml:space="preserve">Assinatura de bases de informação bibliográfica, que disponibilizam acesso digital a produtos informacionais, tais como livros, periódicos, jurisprudência, legislação, doutrina, etc., na área do Direito e outras áreas correlatas à atuação do Conselho Nacional de Justiça. Visa suprir as necessidades de informação dos Conselheiros, Magistrados e Servidores do CNJ. </t>
  </si>
  <si>
    <t>II</t>
  </si>
  <si>
    <t>CATSER - 23108</t>
  </si>
  <si>
    <t>Revista dos Tribunais Online - COIN</t>
  </si>
  <si>
    <t>Biblioteca Digital Proview - COIN</t>
  </si>
  <si>
    <t>Hein Online - COIN</t>
  </si>
  <si>
    <t>3.3.90.39.63</t>
  </si>
  <si>
    <t>Digital Object Identifier - DOI</t>
  </si>
  <si>
    <t>A atribuição de código DOI (Digital Object Identifier) aos artigos da Revista do CNJ garante a preservação digital do conhecimento publicado no períodico, contribui para maior visibilidade dos artigos, e auxilia o processo de contagem de citações (requisito avaliado pela CAPES para classificação no Qualis).</t>
  </si>
  <si>
    <t>III</t>
  </si>
  <si>
    <t>CATSER - 19275</t>
  </si>
  <si>
    <t>3.3.90.39.51</t>
  </si>
  <si>
    <t>6ª Edição da Série Justiça Pesquisa</t>
  </si>
  <si>
    <t>Trata-se de programa contínuo, realizado desde 2012, que consiste na contratação de pesquisas que subsidiem a implementação e avaliação de políticas judiciárias, conforme art. 5º da Lei 11. 364, de 26 de outubro de 2006</t>
  </si>
  <si>
    <t>01179/2023</t>
  </si>
  <si>
    <t>Contratos n. 23/2023 ; 24/2023 ; 25/2023 ; 26/2023 ; 27/2023 ; 28/2023</t>
  </si>
  <si>
    <t>CATSER - 15342</t>
  </si>
  <si>
    <t>3.3.90.39.05</t>
  </si>
  <si>
    <t>Serviços de tradução</t>
  </si>
  <si>
    <t>Serivços de tradução de materiais produzidos e publicados pelo DPJ, além de tradução de normativas do CNJ que afetem as atividades do DPJ</t>
  </si>
  <si>
    <t>05728/2023</t>
  </si>
  <si>
    <t>3.3.90.18.01</t>
  </si>
  <si>
    <t>Parceria institucional com IPEA</t>
  </si>
  <si>
    <t>Trata-se de atividade que consiste na realização de parcerias institucionais para a consecução de pesquisas que subsidiem a implementação e avaliação de políticas judiciárias, conforme art. 5º da Lei 11. 364, de 26 de outubro de 2006</t>
  </si>
  <si>
    <t>09999/2021</t>
  </si>
  <si>
    <t>TED 03/2022</t>
  </si>
  <si>
    <t>0007</t>
  </si>
  <si>
    <t>SGP</t>
  </si>
  <si>
    <t>Realização de Eventos de Capacitação de Servidores (Internos e Externos)</t>
  </si>
  <si>
    <t xml:space="preserve"> A capacitação permanente no Conselho Nacional de Justiça - CNJ tem por finalidade proporcionar aos servidores a qualificação e o aperfeiçoamento necessários ao cumprimento de suas atividades com maior produtividade, auxiliando-os no alcance dos objetivos estratégicos do Órgão. As ações de educação corporativa, regulamentadas pela Instrução Normativa nº 35/2015 e 63/2020, dividem-se em:
I – eventos internos: promovidos pelo CNJ e planejados para atender às demandas de educação corporativa do Conselho;
II – eventos externos: totalmente promovidos e organizados por outra instituição que não o CNJ, com inscrição, em geral, aberta ao público.
Para 2024 estamos estimando um custo médio de R$ 754,93 por servidor capacitado.</t>
  </si>
  <si>
    <t>Programa de Desenvolvimento de Líderes</t>
  </si>
  <si>
    <t>O Programa de Desenvolvimento de Líderes do CNJ é disciplinado pela IN 01/2010, sendo parte do programa Permanente de Capacitação, regulamentada pela Portaria Conjunta nº 3/2007. O treinamento de gestores, que é uma exigência contida na Lei n° 11.416/2006, visa elevar o grau das competencias gerenciais associadas à gestão pública contemporânea na consecução das metas institucionais.
Considerando o quantitativo total de 118 líderes e a meta de capacitar pelo menos 55% dos gestores em pelo menos 15 horas de participação nos eventos que compôem o Programa de Desenvolvimento de Líderes, projeta-se a necessidade de capacitar 65 gestores.</t>
  </si>
  <si>
    <t>0008</t>
  </si>
  <si>
    <t>CEAJUD</t>
  </si>
  <si>
    <t xml:space="preserve">Capacitação de Servidores - EaD Investimento para pagamento de tutoria do cursos a distância oferecidos pelo CEAJUD - </t>
  </si>
  <si>
    <t>O CEAJUD tem como missão promover, em parceria com os Tribunais, a educação coportativa do Poder Judiciário. 
Entre as demandas estratégicas nessa área encontram-se os cursos de improbidade administrativa, processo judicial eletrônico, comunicação institucional, previdência complementar do servidor, infância e juventude, auditoria governamental, gestão por competências, entre tantos outros que virão a ser demandados.</t>
  </si>
  <si>
    <t>I</t>
  </si>
  <si>
    <t>CATSER - 19321</t>
  </si>
  <si>
    <t>Desenvolvimento de cursos Investimento para pagar os conteudistas (servidores e magistrados responsáveis
 por escrever o conteúdo dos cursos a distância) -</t>
  </si>
  <si>
    <t>Para desenvolver um curso a distância é necessário elaborar o 
conteúdo do mesmo. Esse é um trabalho técnico, que requer um conhecimento muito especializado sobre o assunto. Por isso o CEAJUD contrata instrutores internos que são especialistas nos temas que precisam ser desenvolvidos.</t>
  </si>
  <si>
    <t xml:space="preserve">Capacitação de Servidores - Presencial Investimento para pagamento dos instrutores dos cursos
 presenciais oferecidos pelo CEAJUD e ANSPJ - </t>
  </si>
  <si>
    <t>Com o retorno das atividades presenciais,
novos cursos presenciais de mediação, adminissibilidade recursal, formação de entrevistadores forenses, cursos sobre o marco legal devem retornar à agenda do CEAJUD. Além disso foi criada a Academia Nacional de Segurança do Poder Judiciário que está compartilhando os recursos orçamentários do CEAJUD.</t>
  </si>
  <si>
    <t>000A</t>
  </si>
  <si>
    <t>SCS</t>
  </si>
  <si>
    <t>Contratação de empresa especializada para prestação de serviços na área de Assessoria de Comunicação Social (SEI 04788/2021)</t>
  </si>
  <si>
    <t xml:space="preserve">A prestação de serviço especializado em comunicação social </t>
  </si>
  <si>
    <t>04788/2021</t>
  </si>
  <si>
    <t>Contrato n. 07/2022</t>
  </si>
  <si>
    <t>Prestação de serviços de apoio administrativo nas áreas de operação e manutenção preventiva e corretiva em equipamentos de áudio e vídeo (SEI 13197/2018)</t>
  </si>
  <si>
    <t>Serviços de manutenção preventiva e corretiva de equipamentos de áudio e vídeo.</t>
  </si>
  <si>
    <t>13197/2018</t>
  </si>
  <si>
    <t>Contrato n. 02/2020</t>
  </si>
  <si>
    <t>3.3.90.39.49</t>
  </si>
  <si>
    <t>CLIPPING jornalístico on-line, com monitoramento de mídia, gestão da informação e análise de conteúdo (SEI 08552/2019)</t>
  </si>
  <si>
    <t>Prestação de serviço especializado em coleta de notícias de interesse do Conselho Nacional de Justiça</t>
  </si>
  <si>
    <t>08552/2019</t>
  </si>
  <si>
    <t>Contrato n. 12/2020</t>
  </si>
  <si>
    <t>CATSER - 10129</t>
  </si>
  <si>
    <t>Banco de imagens, por meio digital (internet) (SEI 09534/2022)</t>
  </si>
  <si>
    <t>O serviço de Banco de Imagens é extremamente importante para a produção de conteúdo interno e externo</t>
  </si>
  <si>
    <t>XV</t>
  </si>
  <si>
    <t>09534/2022</t>
  </si>
  <si>
    <t>Contrato n. 32/2023</t>
  </si>
  <si>
    <t>CATSER - 22640</t>
  </si>
  <si>
    <t xml:space="preserve">Material  gráfico 1 </t>
  </si>
  <si>
    <t>Impressão de folhetos, banners, folders e outros materiais de grande volume em papel.</t>
  </si>
  <si>
    <t>00794/2022</t>
  </si>
  <si>
    <t>ARP 04/2023</t>
  </si>
  <si>
    <t>CATSER - 21504</t>
  </si>
  <si>
    <t xml:space="preserve">Material  gráfico 2 </t>
  </si>
  <si>
    <t>09541/2022</t>
  </si>
  <si>
    <t>Material Vinil 1</t>
  </si>
  <si>
    <t>Prestação de serviços de impressão em vinil para eventos. Necessário para a maior parte dos eventos para fins de divulgação e sinalização</t>
  </si>
  <si>
    <t>01004/2022</t>
  </si>
  <si>
    <t>ARP 04/2022</t>
  </si>
  <si>
    <t>CATSER - 8306</t>
  </si>
  <si>
    <t>Material Vinil 2</t>
  </si>
  <si>
    <t>09542/2022</t>
  </si>
  <si>
    <t>ARP n. 04/2023</t>
  </si>
  <si>
    <t>Material Vinil 3</t>
  </si>
  <si>
    <t>09517/2023</t>
  </si>
  <si>
    <t>Jornais e revistas online 2023 (SEI 09545/2022) 00931/2022)</t>
  </si>
  <si>
    <t>Serviço de assinatura de revistas e jornais nacionais de forma on line com o objetivo de receber notícias dos cenários nacional e internaciona</t>
  </si>
  <si>
    <t>09545/2022</t>
  </si>
  <si>
    <t>NE 270/2023</t>
  </si>
  <si>
    <t>Jornais e revistas online 2024 (SEI 10017/2023 09545/2022)</t>
  </si>
  <si>
    <t>Produção de Programas de TV e Rádio por meio do Termo de Cooperação com o STF (SEI 10149/2021 04231/2018/ SEI 05055/2019 ) 08217/2022</t>
  </si>
  <si>
    <t>Produção de programas busca disseminar a informação sobre matérias que ocorrem no CNJ, bem como de interesse o Poder Judicário</t>
  </si>
  <si>
    <t>10149/2021 ; 04231/2018 ; 05055/2019</t>
  </si>
  <si>
    <t>TED 03/2019</t>
  </si>
  <si>
    <t>Monitoramento de redes sociais - (SEI 08820/2021)</t>
  </si>
  <si>
    <t xml:space="preserve">Gerenciar os canais oficiais do CNJ nas redes socias, conhecer melhor os usuários e definir estrateégias para melhora do alcance das publicações. </t>
  </si>
  <si>
    <t>08820/2021</t>
  </si>
  <si>
    <t>Contrato n. 28/2022</t>
  </si>
  <si>
    <t>CATSER - 22870</t>
  </si>
  <si>
    <t>Templates ( SEI 10022/2023 - 09548/2022)</t>
  </si>
  <si>
    <t>Gerenciar o conteúdo de apresentação viusal para vídeos</t>
  </si>
  <si>
    <t>10022/2023</t>
  </si>
  <si>
    <t>CATSER - 16535</t>
  </si>
  <si>
    <t>Flirkr (SEI 10018/2023 - 09550/2022)</t>
  </si>
  <si>
    <t>Ferramenta assinatura anual de serviço de armazenamento de imagens do CNJ</t>
  </si>
  <si>
    <t>10018/2023</t>
  </si>
  <si>
    <t>Flirkr (SEI 10019/2023 - 09553/2022)</t>
  </si>
  <si>
    <t>10019/2023</t>
  </si>
  <si>
    <t>Newsletter (SEI 10020/2023 - 09556/2022)</t>
  </si>
  <si>
    <t>ferramenta que envia informativos e notícias do CNJ por e-mail para grupos de assinantes. O serviço de newsletter faz parte da estratégia de comunicação do CNJ e é fundamental no relacionamento com a imprensa no tocante à visibilidade das ações e dos serviços prestados pelo CNJ.</t>
  </si>
  <si>
    <t>10020/2023</t>
  </si>
  <si>
    <t>Lnk.Bio Instagram</t>
  </si>
  <si>
    <t>ferramento de integração de link no Instagram</t>
  </si>
  <si>
    <t>09719/2023</t>
  </si>
  <si>
    <t>CATSER - 24988</t>
  </si>
  <si>
    <t>Mailing 1</t>
  </si>
  <si>
    <t>Prestação de serviço  de mailing de imprensa - com dados de contato de jornalistas e de veículos de todo o Brasil - e ferramenta de distribuição de press releases e boletins informativos (e-mail marketing) aos contatos tanto obtidos via mailing de imprensa, como contatos próprios da Secretaria de Comunicação Social.</t>
  </si>
  <si>
    <t>05608/2022</t>
  </si>
  <si>
    <t>20/01/2024</t>
  </si>
  <si>
    <t>Mailing 2</t>
  </si>
  <si>
    <t>10023/2023</t>
  </si>
  <si>
    <t>20/01/2025</t>
  </si>
  <si>
    <t>Libras ( SEI 01959/2022 - 09561/2022)</t>
  </si>
  <si>
    <t>Contratação da ferramenta de tradução de libras e voz para o Portal CNJ.</t>
  </si>
  <si>
    <t>09561/2022</t>
  </si>
  <si>
    <t>Contrato n. 17/2023</t>
  </si>
  <si>
    <t>CATSER - 27928</t>
  </si>
  <si>
    <t>TV por assinatura 1</t>
  </si>
  <si>
    <t xml:space="preserve">Contratação de empresa especializada emm prestação de serviço  prestação de serviços de TV por assinatura para colher informações para realização de matérias judiciárias.  </t>
  </si>
  <si>
    <t>09563/2022</t>
  </si>
  <si>
    <t>CATSER - 16209</t>
  </si>
  <si>
    <t>TV por assinatura 2</t>
  </si>
  <si>
    <t>13815/2023</t>
  </si>
  <si>
    <t>Pllug in elementor (SEI 10021/2023 - 04079/2023)</t>
  </si>
  <si>
    <t xml:space="preserve">Contratação Contratação de plugin Elementor é um plugin para criação de sites e páginas do WordPress. . </t>
  </si>
  <si>
    <t>10021/2023</t>
  </si>
  <si>
    <t>CATSER - 26077</t>
  </si>
  <si>
    <t>Televisão corporativa (SEI 10232/2020)</t>
  </si>
  <si>
    <t>Contratação de empresa de televisão corporativa que tenha áudio, vídeo e imagem para os elevadores, salas de reuniões, plenário e auditório do CNJ com conteúdo interno e customizados conforme necessidade do Conselho. A contratação deve englobar o fornecimento dos equipamentos de hardware e software assim como a instalação</t>
  </si>
  <si>
    <t>10232/2020</t>
  </si>
  <si>
    <t>CJF ressarcimento despesas material gráfico e vinil (SEI 04344/2015) SEI 04372/2021</t>
  </si>
  <si>
    <t>desenvolvimento de ações com vistas à realização de serviços gráficos de interesse institucional do CNJ</t>
  </si>
  <si>
    <t>04372/2021</t>
  </si>
  <si>
    <t>TED 03/2021</t>
  </si>
  <si>
    <t>4.4.90.52.33</t>
  </si>
  <si>
    <t>Equipamentos fotográficos, de audiovisual,  desing gráfico e imprensa</t>
  </si>
  <si>
    <t>Apoiar o núcleo de reportagem fotográfica da SCS.</t>
  </si>
  <si>
    <t>CATMAT - 17172</t>
  </si>
  <si>
    <t>Equipamento maquina encardenadora</t>
  </si>
  <si>
    <t>11220/2023</t>
  </si>
  <si>
    <t>CATMAT - 1163</t>
  </si>
  <si>
    <t>Contratação de empresa especializada no Software GLPI (Gestionnaire Libre de Parc Informatique) para prestação de serviços de implantação, suporte técnico, treinamento e consultoria</t>
  </si>
  <si>
    <t>A missão da Central de Serviços de TIC do CNJ é minimizar impactos de falhas técnicas e melhorar o atendimento. O atual sistema, OTRS, não atende às necessidades, sem atualizações e relatórios adequados. Dessa forma, se faz necessária contratação de empresa especializada no Software GLPI (Gestionnaire Libre de Parc Informatique) para prestação de serviços de implantação, suporte técnico, treinamento e consultoria</t>
  </si>
  <si>
    <t>03022/2023</t>
  </si>
  <si>
    <t>CATSER - 26972</t>
  </si>
  <si>
    <t>4.4.90.40.05</t>
  </si>
  <si>
    <t>Contratação de licenças NetBackup, incluíndo garantia do software em sua última versão, por 5 (cinco) anos.</t>
  </si>
  <si>
    <t>Por meio do contrato n. 38/2021 o CNJ adquiriu garantia do licenciamento do software Netbackup por 24 meses. Após o encerramento deste prazo (em dezembro de 2023), será necessário realizar nova contratação para manutenção da utilização do software.</t>
  </si>
  <si>
    <t>01931/2023</t>
  </si>
  <si>
    <t>Confecção de brasões da República em metal para utilização em púlpitos e mesa do CNJ</t>
  </si>
  <si>
    <t>atendimento da Lei n. 5.700, de 1.º de setembro de 1971, que dispõe sobre a forma e a apresentação dos Símbolos Nacionais</t>
  </si>
  <si>
    <t>IV</t>
  </si>
  <si>
    <t>13436/2023</t>
  </si>
  <si>
    <t>CATMAT - 16549</t>
  </si>
  <si>
    <t>Fornecimento de refeições (almoço) com acompanhamento de bebidas não alcoólicas.</t>
  </si>
  <si>
    <t>A presente contratação complementa a prestação dos serviços de copeiragem aos Conselheiros e Juízes Auxiliares nos dias de Sessões Plenárias do Conselho Nacional de Justiça. A prestação dos serviços visa a produtividade das atividades e assim evitar a perda de tempo com deslocamentos e logística para os Senhores Conselheiros e Juízes Auxiliares para se alimentarem.</t>
  </si>
  <si>
    <t>13865/2023</t>
  </si>
  <si>
    <t>Aquisição de plantas ornamentais naturais com cachepôs</t>
  </si>
  <si>
    <t xml:space="preserve">A aquisição do objeto em questão justifica-se pela necessidade de composição de ambientes para o uso de autoridades deste Conselho, em especial a Presidência, os quais são utilizados ainda para recepção de autoridades externas. </t>
  </si>
  <si>
    <t>11730/2023</t>
  </si>
  <si>
    <t>0004</t>
  </si>
  <si>
    <t>3.3.90.39.00</t>
  </si>
  <si>
    <t>TED 02/2020 - UFPE = Projeto Laboratório de Mineração de Processos no Judiciário</t>
  </si>
  <si>
    <t>Fomentar a Transformação Digital</t>
  </si>
  <si>
    <t>01764/2020</t>
  </si>
  <si>
    <t>3.3.90.30.25</t>
  </si>
  <si>
    <t>Aquisição de 114 refis, por meio de Dispensa de Licitação, para os filtros Soft Everest Plus instalados no Conselho Nacional de Justiça.</t>
  </si>
  <si>
    <t>Segundo o fabricante Soft, a vida útil do elemento filtrante é de 4000 litros, ou 200 garrafões de 20 litros, ou pelo desgaste do tempo, que é em torno de 9 a 12 meses, mesmo sem nenhuma alteração nos aspectos físicos e químicos da água.</t>
  </si>
  <si>
    <t>12186/2023</t>
  </si>
  <si>
    <t>CATMAT - 7451</t>
  </si>
  <si>
    <t>Serviços de Manutenção do Parque de Computadores Servidores do CNJ (Dell e HP) - Contrato 31/2021</t>
  </si>
  <si>
    <t>03778/2021</t>
  </si>
  <si>
    <t>Contrato n. 31/2021</t>
  </si>
  <si>
    <t>Serviços de Suporte Appliance Backup. Contrato 38/2021 - JAMC Consultoria</t>
  </si>
  <si>
    <t>03851/2021</t>
  </si>
  <si>
    <t>Contrato n. 38/2021</t>
  </si>
  <si>
    <t>Serviços de Sustentação de Recuperação dos dados contidos no Cadastros de Pessoa Física (CPF) e Pessoa Jurídica(CNPJ), para fornecimento de informações ao PJe e outros sistemas do Conselho Nacional de Justiça - Contrato 06/2022</t>
  </si>
  <si>
    <t>Sustenta aplicações que necessitam dos dados da Receita Federal</t>
  </si>
  <si>
    <t>03235/2021</t>
  </si>
  <si>
    <t>Contrato n. 06/2022</t>
  </si>
  <si>
    <t xml:space="preserve">Serviços Gerenciados de Segurança da Informação (MSS) - Contrato 08/2021 - ISH </t>
  </si>
  <si>
    <t>00131/2020</t>
  </si>
  <si>
    <t>Contrato n. 08/2021</t>
  </si>
  <si>
    <t>Fornecimento de coquetel volante e coffee break</t>
  </si>
  <si>
    <t>A presente contratação se faz necessária, haja vista os eventos realizados no CNJ, tais como solenidades de posses, reuniões administrativas, sessões plenárias, seminários, congressos, encontros e demais eventos promovidos pelo CNJ</t>
  </si>
  <si>
    <t>11166/2023</t>
  </si>
  <si>
    <t>Aquisição de computadores Mac Mini para edições audiovisuais</t>
  </si>
  <si>
    <t>O setor de áudio e vídeo tem realizado a produção de vários vídeos institucionais, com animações gráficas e manipulação de vetores. A parte da renderização é de crucial importância pois determina o tempo em que os produtos devem ser entregues. Paralelo a isto, está o desempenho dos computadores durante o processo de edição ao se utilizar programas como o Adobe After Effects, Premiere e Illustrator. Diversos artigos de revistas especializadas demonstram que os chips M2 (exclusivos apple) são superiores aos chips mais utilizados como intel. Portanto, para a excelência, qualidade e rapidez na entrega dos produtos, entendemos que a aquisição de computadores apple é a melhor solução.</t>
  </si>
  <si>
    <t>08575/2023</t>
  </si>
  <si>
    <t>NE 93/2024</t>
  </si>
  <si>
    <t>Saída de recursos</t>
  </si>
  <si>
    <t>Informações acrescentadas ou alteradas</t>
  </si>
  <si>
    <t>Entrada de recursos</t>
  </si>
  <si>
    <t>OUTRAS AÇÕES DISCRICIONÁRIAS 2024</t>
  </si>
  <si>
    <t>3.3.90.47.22</t>
  </si>
  <si>
    <t>Taxa de iluminação pública</t>
  </si>
  <si>
    <t>Encargo vinculado ao fornecimento de energia elétrica</t>
  </si>
  <si>
    <t>3.3.90.47.10</t>
  </si>
  <si>
    <t>Licenciamento anual</t>
  </si>
  <si>
    <t>Renovação da concessão da autorização de uso de placas especiais</t>
  </si>
  <si>
    <t>SOF a designar</t>
  </si>
  <si>
    <t>Pagamento IPTU sede CNJ</t>
  </si>
  <si>
    <t>Obrigação contratual decorrente da locação dos imóveis sede do CNJ</t>
  </si>
  <si>
    <t xml:space="preserve">040104 - SEMAP </t>
  </si>
  <si>
    <t>05134/2029</t>
  </si>
  <si>
    <t xml:space="preserve">3.3.90.14.14 </t>
  </si>
  <si>
    <t>Diárias</t>
  </si>
  <si>
    <t>Permitir a execução dos projetos do CNJ, incluindo-se atividades do DMF, Corregedoria Nacional de Justiça, cursos, congressos, seminários e eventos diversos, trabalho das comissões, assim como oferecer estrutura para estadia de Conselheiros e Juizes não residentes em Brasília a participarem de sessões plenárias e conduzirem trabalhos em seus gabinetes.</t>
  </si>
  <si>
    <t>3.3.90.93.03</t>
  </si>
  <si>
    <t>Valores destinados a compensar as despesas de instalação dos Conselheiros, Juizes Auxiliares e Servidores que, no interesse da Administração, se deslocarem da respectiva sede e passar a ter exercício no Conselho Nacional de Justiça.
O referido benefício engloba:
* Ajuda de Custo para atender às despesas de viagem, mudança e instalação;
* Indenização dos valores gastos com transporte;
* Indenização dos valores gastos com o transporte de mobiliário, bagagem e bens pessoais</t>
  </si>
  <si>
    <t>A indenização da ajuda de custo para mudança é calculada com base na remuneração do servidor, subsídio do juiz auxiliar ou conselheiro e compreende o ressarcimento dos gastos com transporte de mobiliário e bagagem e passagem aérea ou rodoviária.
No cálculo, consideramos o pagamento de  20  benefícios num valor médio de R$ 35.000,00, já prevendo-se o encerramento de mandato de 5 (cinco) Conselheiros no ano de 2024.</t>
  </si>
  <si>
    <t>04169/2023</t>
  </si>
  <si>
    <t>33.90.14</t>
  </si>
  <si>
    <t>Diárias pagas à Corregedora, aos Juízes Auxiliares e aos servidores em decorrência de afastamento da sede do serviço para realização de inspeção ou correição, bem como despesas referentes ao deslocamento da Corregedora e dos Juízes Auxiliares para sede do Conselho Nacional de Justiça (Instrução Normativa n. 10/2010, art. 2º e art. 8º, §2º).</t>
  </si>
  <si>
    <t>Diárias PDPJ/PJE</t>
  </si>
  <si>
    <t>O recurso será utilizado para subsidiar projetos estratégicos em conjunto aos Tribunais, a exemplo do SINAPSES, MANDAMUS, etc. Também será utilizado este recurso para missões de gerenciamento de crises de PJe nos Tribunais e eventualmente para eventos de capacitação relacionados ao PJe, PDPJ, SINAPSES, MANDAMUS e outras soluções.</t>
  </si>
  <si>
    <t>3.3.90.93.11</t>
  </si>
  <si>
    <t>Concessão de Bolsas de Pós-Gradução</t>
  </si>
  <si>
    <t>O CNJ oferece regularmente bolsas de língua estrangeira aos servidores interessados em adquirir esse conhecimento. As bolsas são concedidas para o estudo dos idiomas inglês, espanhol, alemão, italiano e francês que se desenvolvam regularmente, sob a forma de metodologia direta ou instrumental, na modalidade presencial no Distrito Federal. O curso deve ter carga horária mínima de duas horas semanais. O dispositivo que regulamenta as bolsas de língua é a IN nº 32/2015.
Considerando as bolsas vigentes e novas bolsas a serem concedidas em 2024, a SEDUC projeta a manutenção de 5 bolsas de graduação, 5 bolsas lato sensu, 15 bolsas de mestrado e 10 bolsas de doutorado.</t>
  </si>
  <si>
    <t>Concessão de Bolsas de Língua Estrangeira</t>
  </si>
  <si>
    <t xml:space="preserve"> A capacitação permanente no Conselho Nacional de Justiça - CNJ tem por finalidade proporcionar aos servidores a qualificação e o aperfeiçoamento necessários ao cumprimento de suas atividades com maior produtividade, auxiliando-os no alcance dos objetivos estratégicos do Órgão. As ações de educação corporativa, regulamentadas pela Instrução Normativa nº 35/2015, dividem-se em:
I – eventos internos: promovidos pelo CNJ e planejados para atender às demandas de educação corporativa do Conselho;
II – eventos externos: totalmente promovidos e organizados por outra instituição que não o CNJ, com inscrição, em geral, aberta ao público.
O custo total para a manutenção em 2024 de até 35 bolsas de línguas é de R$ 140.000,00.</t>
  </si>
  <si>
    <t>Programa de Certificação Profissional</t>
  </si>
  <si>
    <t>O Programa de Certificação Profissional é destinado a obtenção ou renovação de certificação profissional, conforme dispõe o art. 2º da Instrução Normativa nº 79, de 27 de agosto de 2021.
Destaca-se que apesar desta demanda não constar de forma separada na captação de demandas de 2022, não se trata de nova demanda. O Programa de Certificação Profissional esta compreendido dentro do orçamento do item 1 (Realização de Eventos de Capacitação de Servidores (Internos e Externos). Ademais, para o exercício de 2023 decidimos por separar esta despesa do item 1.
Este valor contempla a oferta de de até 14 bolsas de certificação profissional de até R$ 7.292,60 por servidor contemplado.</t>
  </si>
  <si>
    <t>0009</t>
  </si>
  <si>
    <t>SG/DG</t>
  </si>
  <si>
    <t>PO criado para permitir planejamento mais preciso sobre a destinação de recursos orçamentários e financeiros para projetos estratégicos do CNJ e aumentar a a qualidade de sua gestão.</t>
  </si>
  <si>
    <t>216H</t>
  </si>
  <si>
    <t>AMMM</t>
  </si>
  <si>
    <t>Ajuda de Custo para moradia a magistrados e membros do Ministério Público. (Auxílo-Moradia para magistrados).</t>
  </si>
  <si>
    <t>AMOA</t>
  </si>
  <si>
    <t>3.3.90.93.07</t>
  </si>
  <si>
    <t>Auxílio-moradia para outros agentes públicos - ativos. (Auxílio-Moradia para servidores).</t>
  </si>
  <si>
    <t>3.3.90.40.20</t>
  </si>
  <si>
    <t>Treinamento DTI</t>
  </si>
  <si>
    <t>Incentivar o desenvolvimento de capacidades dos Sevidores de TIC</t>
  </si>
  <si>
    <t>00003/2022</t>
  </si>
  <si>
    <t>Reconhecimento de dívida - Contrato n. 35/2021</t>
  </si>
  <si>
    <t>Reconhecimento de dívida</t>
  </si>
  <si>
    <t>03577/2020</t>
  </si>
  <si>
    <t>RESUMO POR UNIDADE</t>
  </si>
  <si>
    <t>Orçamento</t>
  </si>
  <si>
    <t>Limite</t>
  </si>
  <si>
    <t>Diferença</t>
  </si>
  <si>
    <t>AÇÃO ORÇAMENTÁRIA / PLANO ORÇAMENTÁRIO (PO)</t>
  </si>
  <si>
    <t>PROPOSTA LOA 2024</t>
  </si>
  <si>
    <t>DOTAÇÃO ATUALIZADA</t>
  </si>
  <si>
    <t>Documentos de atualização das propostas orçamentárias</t>
  </si>
  <si>
    <t>PRIMÁRIAS DISCRICIONÁRIAS - RP 2</t>
  </si>
  <si>
    <t xml:space="preserve">Controle da atuação administrativa e financeira do Poder Judiciário e do cumprimento dos deveres funcionais dos juízes </t>
  </si>
  <si>
    <t>PO-0001- Apoio Administrativo</t>
  </si>
  <si>
    <t>PO-0002 - Corregedoria Nacional de Justiça</t>
  </si>
  <si>
    <t>PO-0003 - Manutenção e Aprimoramento dos Serviços e do Parque Tecnológico do CNJ</t>
  </si>
  <si>
    <t>PO-0004 - Manutenção e Aprimoramento do Processo Judicial Eletrônico - PJE</t>
  </si>
  <si>
    <t>PO-SEG0 - Segurança da Informação</t>
  </si>
  <si>
    <t>PO-0006 - Pesquisas e Diagnósticos do Poder Judiciário</t>
  </si>
  <si>
    <t>TOTAL</t>
  </si>
  <si>
    <t xml:space="preserve">PO-0007 - Capacitação de pessoas do Conselho Nacional de Justiça </t>
  </si>
  <si>
    <t xml:space="preserve">PO-0008 - Capacitação de pessoas do Poder Judiciário e de operadores do Direito </t>
  </si>
  <si>
    <t>PO-0009 - Apoio às Ações Estratégicas do Conselho Nacional de Justiça</t>
  </si>
  <si>
    <t>PO-000A - Comunicação e Divulgação Institucional</t>
  </si>
  <si>
    <t>Ajuda de Custo para Moradia</t>
  </si>
  <si>
    <t>AMMM - Ajuda de Custo para moradia a magistrados e membros do MP</t>
  </si>
  <si>
    <t>AMOA - Auxílio-moradia para outros agentes públicos - ativos</t>
  </si>
  <si>
    <t>CATMAT | CATSER</t>
  </si>
  <si>
    <t>CATMAT - 57</t>
  </si>
  <si>
    <t>CATMAT - 14570</t>
  </si>
  <si>
    <t xml:space="preserve">CATMAT - 19783 </t>
  </si>
  <si>
    <t>GND</t>
  </si>
  <si>
    <t>CATSER - 16691</t>
  </si>
  <si>
    <t>CATSER - 16748</t>
  </si>
  <si>
    <t>CATSER - 17027</t>
  </si>
  <si>
    <t>CATSER - 19224</t>
  </si>
  <si>
    <t>CATSER - 20052</t>
  </si>
  <si>
    <t>CATSER - 22039</t>
  </si>
  <si>
    <t>CATSER - 24902</t>
  </si>
  <si>
    <t>CATSER - 25216</t>
  </si>
  <si>
    <t>CATSER - 3565</t>
  </si>
  <si>
    <t>CATMAT - 14614</t>
  </si>
  <si>
    <t>Realização de certame para admissão de pessoal no Conselho Nacional de Justiça</t>
  </si>
  <si>
    <t>12596/2023</t>
  </si>
  <si>
    <t>Contrato 9/2024</t>
  </si>
  <si>
    <t>Aquisição de chapas em MDF</t>
  </si>
  <si>
    <t>00610/2024</t>
  </si>
  <si>
    <t>CATMAT - 14744</t>
  </si>
  <si>
    <t>CATMAT - 10884</t>
  </si>
  <si>
    <t>NE 17/2024</t>
  </si>
  <si>
    <t>Contrato n. 08/2024</t>
  </si>
  <si>
    <t>Contrato n. 07/2024</t>
  </si>
  <si>
    <t>Contrato n. 01/2024</t>
  </si>
  <si>
    <t>3.3.90.30.50</t>
  </si>
  <si>
    <t>Aquisição de Bandeiras, Corda e Mosquetões para a sede do CNJ - BANDEIRAS</t>
  </si>
  <si>
    <t>02293/2023</t>
  </si>
  <si>
    <t>CATMAT - 8345</t>
  </si>
  <si>
    <t>CATSER - 13447</t>
  </si>
  <si>
    <t>CATSER - 14397</t>
  </si>
  <si>
    <t>CATSER - GRUPO 632</t>
  </si>
  <si>
    <t>CATMAT - 6446</t>
  </si>
  <si>
    <t>CATSER - GRUPO 141</t>
  </si>
  <si>
    <t>Aquisição de webcams para os usuários do Conselho Nacional Justiça</t>
  </si>
  <si>
    <t xml:space="preserve">Viabilizando a realização de sessões telepresenciais, audiências com advogados, reuniões de trabalho e atendimento aos Gabinetes dos Senhores Conselheiros, </t>
  </si>
  <si>
    <t>13916/2023</t>
  </si>
  <si>
    <t>CATMAT - 14697</t>
  </si>
  <si>
    <t>Base de acesso a normas técnicas</t>
  </si>
  <si>
    <t>Assinatura de base de acesso a Normas Técnicas (ABNT NBR) e ISO.</t>
  </si>
  <si>
    <t>7ª Edição da Série Justiça Pesquisa (20% de 3 pesquisas)</t>
  </si>
  <si>
    <t>10975/2023</t>
  </si>
  <si>
    <t>01982/2024</t>
  </si>
  <si>
    <t>Confecção e emolduramento de quadros contendo impressão fine-art de fotografias</t>
  </si>
  <si>
    <t>A aquisição do objeto em questão justifica-se em razão das adequações realizadas nos edifícios sob responsabilidade do Conselho Nacional de Justiça e da necessidade de composição dos leiautes projetados para os gabinetes e demais ambientes internos deste CNJ. Cabe citar que tal demanda por quadros decorativos é recorrente, principalmente por titulares dos gabinetes ou seus assessores. Ainda, pelo fato de serem quadros com fotografias fornecidas pela SCS, soma-se a possibilidade de dar visibilidade do papel institucional do Conselho.</t>
  </si>
  <si>
    <t>CATSER - 5452</t>
  </si>
  <si>
    <t>01828/2024</t>
  </si>
  <si>
    <t>Registro de preços de televisores e suportes para tais aparelhos</t>
  </si>
  <si>
    <t>02210/2024</t>
  </si>
  <si>
    <t>CATMAT - 12609</t>
  </si>
  <si>
    <t>12762/2023</t>
  </si>
  <si>
    <t>A aquisição visa atender o público interno e visitantes, com atenção especial para as sessão plenárias e reuniões realizadas pelas autoridades do Conselho. Após a extinção uso de garrafas com água envasada, com gás e sem gás de 500 ml nas dependências do Conselho, conforme Despacho SG 1686381, a demanda  de garrafas e jarros aumentou. Além disso, com a retirada das garrafinhas, o consumo de guardanapos aumentou para evitar a aglomeração de água na mesa pelos copos de vidro, tornando necessário a aquisição de porta-copos de silicone.</t>
  </si>
  <si>
    <t>Aquisição de garrafas térmicas, jarras de vidro com tampa, porta-copos de silicone e jarros de inox com tampa, por meio de Dispensa de Licitação, a fim de atender as demandas das reuniões e sessão plenária do Conselho Nacional de Justiça.</t>
  </si>
  <si>
    <t>CATMAT - CLASSE 8125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</si>
</sst>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??_);_(@_)"/>
    <numFmt numFmtId="165" formatCode="_-&quot;R$&quot;\ * #,##0_-;\-&quot;R$&quot;\ * #,##0_-;_-&quot;R$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8"/>
      <color theme="0"/>
      <name val="Palatino Linotype"/>
      <family val="1"/>
    </font>
    <font>
      <b/>
      <sz val="16"/>
      <color theme="0"/>
      <name val="Palatino Linotype"/>
      <family val="1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</font>
    <font>
      <sz val="11"/>
      <color theme="1"/>
      <name val="Arial"/>
    </font>
    <font>
      <i/>
      <sz val="12"/>
      <name val="Arial"/>
    </font>
    <font>
      <b/>
      <sz val="12"/>
      <name val="Arial"/>
    </font>
    <font>
      <sz val="10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quotePrefix="1" applyFont="1" applyFill="1" applyBorder="1" applyAlignment="1">
      <alignment horizontal="center" vertical="center"/>
    </xf>
    <xf numFmtId="44" fontId="3" fillId="4" borderId="1" xfId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4" fontId="3" fillId="3" borderId="1" xfId="0" quotePrefix="1" applyNumberFormat="1" applyFont="1" applyFill="1" applyBorder="1" applyAlignment="1">
      <alignment horizontal="center" vertical="center"/>
    </xf>
    <xf numFmtId="14" fontId="3" fillId="4" borderId="1" xfId="0" quotePrefix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6" borderId="0" xfId="0" applyFill="1"/>
    <xf numFmtId="0" fontId="0" fillId="6" borderId="0" xfId="0" applyFill="1" applyAlignment="1">
      <alignment horizontal="left"/>
    </xf>
    <xf numFmtId="14" fontId="0" fillId="6" borderId="0" xfId="0" applyNumberFormat="1" applyFill="1"/>
    <xf numFmtId="0" fontId="3" fillId="6" borderId="0" xfId="0" applyFont="1" applyFill="1"/>
    <xf numFmtId="0" fontId="3" fillId="6" borderId="0" xfId="0" applyFont="1" applyFill="1" applyAlignment="1">
      <alignment horizontal="left"/>
    </xf>
    <xf numFmtId="14" fontId="3" fillId="6" borderId="0" xfId="0" applyNumberFormat="1" applyFont="1" applyFill="1"/>
    <xf numFmtId="0" fontId="0" fillId="6" borderId="0" xfId="0" applyFill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0" fontId="4" fillId="2" borderId="2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/>
    </xf>
    <xf numFmtId="0" fontId="5" fillId="5" borderId="2" xfId="0" applyFont="1" applyFill="1" applyBorder="1" applyAlignment="1">
      <alignment horizontal="centerContinuous" vertical="center"/>
    </xf>
    <xf numFmtId="0" fontId="5" fillId="5" borderId="3" xfId="0" applyFont="1" applyFill="1" applyBorder="1" applyAlignment="1">
      <alignment horizontal="centerContinuous" vertical="center"/>
    </xf>
    <xf numFmtId="0" fontId="5" fillId="5" borderId="16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" vertical="center" wrapText="1"/>
    </xf>
    <xf numFmtId="44" fontId="6" fillId="6" borderId="8" xfId="1" applyFont="1" applyFill="1" applyBorder="1" applyAlignment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3" fillId="11" borderId="1" xfId="0" applyFont="1" applyFill="1" applyBorder="1" applyAlignment="1">
      <alignment horizontal="center" vertical="center"/>
    </xf>
    <xf numFmtId="0" fontId="3" fillId="11" borderId="1" xfId="0" quotePrefix="1" applyFont="1" applyFill="1" applyBorder="1" applyAlignment="1">
      <alignment horizontal="center" vertical="center"/>
    </xf>
    <xf numFmtId="1" fontId="3" fillId="11" borderId="1" xfId="0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left" vertical="center"/>
    </xf>
    <xf numFmtId="44" fontId="3" fillId="11" borderId="1" xfId="1" applyFont="1" applyFill="1" applyBorder="1" applyAlignment="1">
      <alignment horizontal="center" vertical="center"/>
    </xf>
    <xf numFmtId="14" fontId="3" fillId="11" borderId="1" xfId="0" quotePrefix="1" applyNumberFormat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2" borderId="1" xfId="0" quotePrefix="1" applyFont="1" applyFill="1" applyBorder="1" applyAlignment="1">
      <alignment horizontal="center" vertical="center"/>
    </xf>
    <xf numFmtId="1" fontId="3" fillId="12" borderId="1" xfId="0" applyNumberFormat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left" vertical="center"/>
    </xf>
    <xf numFmtId="44" fontId="3" fillId="12" borderId="1" xfId="1" applyFont="1" applyFill="1" applyBorder="1" applyAlignment="1">
      <alignment horizontal="center" vertical="center"/>
    </xf>
    <xf numFmtId="14" fontId="3" fillId="12" borderId="1" xfId="0" quotePrefix="1" applyNumberFormat="1" applyFont="1" applyFill="1" applyBorder="1" applyAlignment="1">
      <alignment horizontal="center" vertical="center"/>
    </xf>
    <xf numFmtId="44" fontId="3" fillId="6" borderId="0" xfId="0" applyNumberFormat="1" applyFont="1" applyFill="1"/>
    <xf numFmtId="44" fontId="3" fillId="4" borderId="1" xfId="1" applyFont="1" applyFill="1" applyBorder="1" applyAlignment="1">
      <alignment horizontal="left" vertical="center"/>
    </xf>
    <xf numFmtId="44" fontId="3" fillId="3" borderId="1" xfId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8" xfId="0" applyFont="1" applyFill="1" applyBorder="1" applyAlignment="1">
      <alignment horizontal="centerContinuous" vertical="center"/>
    </xf>
    <xf numFmtId="0" fontId="8" fillId="6" borderId="0" xfId="0" applyFont="1" applyFill="1"/>
    <xf numFmtId="0" fontId="8" fillId="0" borderId="0" xfId="0" applyFont="1"/>
    <xf numFmtId="44" fontId="9" fillId="7" borderId="8" xfId="1" applyFont="1" applyFill="1" applyBorder="1" applyAlignment="1">
      <alignment horizontal="right" vertical="center"/>
    </xf>
    <xf numFmtId="49" fontId="10" fillId="4" borderId="13" xfId="0" applyNumberFormat="1" applyFont="1" applyFill="1" applyBorder="1" applyAlignment="1">
      <alignment horizontal="center" vertical="center" wrapText="1"/>
    </xf>
    <xf numFmtId="49" fontId="10" fillId="4" borderId="14" xfId="0" applyNumberFormat="1" applyFont="1" applyFill="1" applyBorder="1" applyAlignment="1">
      <alignment horizontal="center" vertical="center" wrapText="1"/>
    </xf>
    <xf numFmtId="49" fontId="10" fillId="4" borderId="15" xfId="0" applyNumberFormat="1" applyFont="1" applyFill="1" applyBorder="1" applyAlignment="1">
      <alignment horizontal="center" vertical="center" wrapText="1"/>
    </xf>
    <xf numFmtId="49" fontId="10" fillId="4" borderId="17" xfId="0" applyNumberFormat="1" applyFont="1" applyFill="1" applyBorder="1" applyAlignment="1">
      <alignment horizontal="center" vertical="center" wrapText="1"/>
    </xf>
    <xf numFmtId="164" fontId="10" fillId="4" borderId="18" xfId="2" applyNumberFormat="1" applyFont="1" applyFill="1" applyBorder="1" applyAlignment="1">
      <alignment horizontal="center" vertical="center" wrapText="1"/>
    </xf>
    <xf numFmtId="164" fontId="10" fillId="4" borderId="19" xfId="2" applyNumberFormat="1" applyFont="1" applyFill="1" applyBorder="1" applyAlignment="1">
      <alignment horizontal="center" vertical="center" wrapText="1"/>
    </xf>
    <xf numFmtId="164" fontId="10" fillId="4" borderId="20" xfId="2" applyNumberFormat="1" applyFont="1" applyFill="1" applyBorder="1" applyAlignment="1">
      <alignment horizontal="center" vertical="center" wrapText="1"/>
    </xf>
    <xf numFmtId="165" fontId="9" fillId="7" borderId="11" xfId="1" applyNumberFormat="1" applyFont="1" applyFill="1" applyBorder="1" applyAlignment="1">
      <alignment horizontal="right" vertical="center"/>
    </xf>
    <xf numFmtId="165" fontId="9" fillId="7" borderId="12" xfId="1" applyNumberFormat="1" applyFont="1" applyFill="1" applyBorder="1" applyAlignment="1">
      <alignment horizontal="right" vertical="center"/>
    </xf>
    <xf numFmtId="49" fontId="10" fillId="4" borderId="4" xfId="0" applyNumberFormat="1" applyFont="1" applyFill="1" applyBorder="1" applyAlignment="1">
      <alignment horizontal="center" vertical="center"/>
    </xf>
    <xf numFmtId="164" fontId="12" fillId="4" borderId="1" xfId="2" applyNumberFormat="1" applyFont="1" applyFill="1" applyBorder="1" applyAlignment="1">
      <alignment vertical="center"/>
    </xf>
    <xf numFmtId="164" fontId="12" fillId="4" borderId="6" xfId="2" applyNumberFormat="1" applyFont="1" applyFill="1" applyBorder="1" applyAlignment="1">
      <alignment vertical="center"/>
    </xf>
    <xf numFmtId="165" fontId="9" fillId="7" borderId="1" xfId="1" applyNumberFormat="1" applyFont="1" applyFill="1" applyBorder="1" applyAlignment="1">
      <alignment horizontal="right" vertical="center"/>
    </xf>
    <xf numFmtId="165" fontId="9" fillId="7" borderId="6" xfId="1" applyNumberFormat="1" applyFont="1" applyFill="1" applyBorder="1" applyAlignment="1">
      <alignment horizontal="right" vertical="center"/>
    </xf>
    <xf numFmtId="49" fontId="10" fillId="0" borderId="4" xfId="0" applyNumberFormat="1" applyFont="1" applyBorder="1" applyAlignment="1">
      <alignment horizontal="justify" vertical="center"/>
    </xf>
    <xf numFmtId="164" fontId="12" fillId="0" borderId="1" xfId="2" applyNumberFormat="1" applyFont="1" applyFill="1" applyBorder="1" applyAlignment="1">
      <alignment vertical="center"/>
    </xf>
    <xf numFmtId="164" fontId="12" fillId="0" borderId="6" xfId="2" applyNumberFormat="1" applyFont="1" applyFill="1" applyBorder="1" applyAlignment="1">
      <alignment vertical="center"/>
    </xf>
    <xf numFmtId="49" fontId="11" fillId="0" borderId="4" xfId="0" applyNumberFormat="1" applyFont="1" applyBorder="1" applyAlignment="1">
      <alignment horizontal="justify" vertical="center"/>
    </xf>
    <xf numFmtId="164" fontId="13" fillId="7" borderId="1" xfId="2" applyNumberFormat="1" applyFont="1" applyFill="1" applyBorder="1" applyAlignment="1">
      <alignment vertical="center"/>
    </xf>
    <xf numFmtId="164" fontId="13" fillId="7" borderId="6" xfId="2" applyNumberFormat="1" applyFont="1" applyFill="1" applyBorder="1" applyAlignment="1">
      <alignment vertical="center"/>
    </xf>
    <xf numFmtId="44" fontId="9" fillId="4" borderId="9" xfId="1" applyFont="1" applyFill="1" applyBorder="1" applyAlignment="1">
      <alignment horizontal="right" vertical="center"/>
    </xf>
    <xf numFmtId="44" fontId="9" fillId="4" borderId="7" xfId="1" applyFont="1" applyFill="1" applyBorder="1" applyAlignment="1">
      <alignment horizontal="right" vertical="center"/>
    </xf>
    <xf numFmtId="164" fontId="12" fillId="7" borderId="1" xfId="2" applyNumberFormat="1" applyFont="1" applyFill="1" applyBorder="1" applyAlignment="1">
      <alignment vertical="center"/>
    </xf>
    <xf numFmtId="164" fontId="12" fillId="7" borderId="6" xfId="2" applyNumberFormat="1" applyFont="1" applyFill="1" applyBorder="1" applyAlignment="1">
      <alignment vertical="center"/>
    </xf>
    <xf numFmtId="49" fontId="11" fillId="0" borderId="5" xfId="0" applyNumberFormat="1" applyFont="1" applyBorder="1" applyAlignment="1">
      <alignment horizontal="justify" vertical="center"/>
    </xf>
    <xf numFmtId="164" fontId="13" fillId="7" borderId="9" xfId="2" applyNumberFormat="1" applyFont="1" applyFill="1" applyBorder="1" applyAlignment="1">
      <alignment vertical="center"/>
    </xf>
    <xf numFmtId="164" fontId="13" fillId="7" borderId="7" xfId="2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quotePrefix="1" applyFont="1" applyFill="1" applyBorder="1" applyAlignment="1">
      <alignment horizontal="center" vertical="center"/>
    </xf>
    <xf numFmtId="1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14" fontId="3" fillId="6" borderId="1" xfId="0" quotePrefix="1" applyNumberFormat="1" applyFont="1" applyFill="1" applyBorder="1" applyAlignment="1">
      <alignment horizontal="center" vertical="center"/>
    </xf>
    <xf numFmtId="0" fontId="3" fillId="9" borderId="1" xfId="0" quotePrefix="1" applyFont="1" applyFill="1" applyBorder="1" applyAlignment="1">
      <alignment horizontal="center" vertical="center"/>
    </xf>
    <xf numFmtId="0" fontId="15" fillId="6" borderId="0" xfId="0" applyFont="1" applyFill="1"/>
    <xf numFmtId="49" fontId="16" fillId="0" borderId="21" xfId="0" applyNumberFormat="1" applyFont="1" applyBorder="1" applyAlignment="1">
      <alignment horizontal="center" vertical="center"/>
    </xf>
    <xf numFmtId="49" fontId="16" fillId="0" borderId="22" xfId="0" applyNumberFormat="1" applyFont="1" applyBorder="1" applyAlignment="1">
      <alignment horizontal="center" vertical="center"/>
    </xf>
    <xf numFmtId="165" fontId="9" fillId="7" borderId="23" xfId="1" applyNumberFormat="1" applyFont="1" applyFill="1" applyBorder="1" applyAlignment="1">
      <alignment horizontal="right" vertical="center"/>
    </xf>
    <xf numFmtId="164" fontId="10" fillId="4" borderId="14" xfId="2" applyNumberFormat="1" applyFont="1" applyFill="1" applyBorder="1" applyAlignment="1">
      <alignment horizontal="center" vertical="center" wrapText="1"/>
    </xf>
    <xf numFmtId="164" fontId="10" fillId="4" borderId="15" xfId="2" applyNumberFormat="1" applyFont="1" applyFill="1" applyBorder="1" applyAlignment="1">
      <alignment horizontal="center" vertical="center" wrapText="1"/>
    </xf>
    <xf numFmtId="49" fontId="10" fillId="4" borderId="13" xfId="0" applyNumberFormat="1" applyFont="1" applyFill="1" applyBorder="1" applyAlignment="1">
      <alignment horizontal="centerContinuous" vertical="center" wrapText="1"/>
    </xf>
    <xf numFmtId="49" fontId="11" fillId="0" borderId="10" xfId="0" applyNumberFormat="1" applyFont="1" applyBorder="1" applyAlignment="1">
      <alignment horizontal="centerContinuous" vertical="center"/>
    </xf>
    <xf numFmtId="49" fontId="11" fillId="0" borderId="21" xfId="0" applyNumberFormat="1" applyFont="1" applyBorder="1" applyAlignment="1">
      <alignment horizontal="center" vertical="center"/>
    </xf>
    <xf numFmtId="165" fontId="14" fillId="7" borderId="11" xfId="1" applyNumberFormat="1" applyFont="1" applyFill="1" applyBorder="1" applyAlignment="1">
      <alignment horizontal="right" vertical="center"/>
    </xf>
    <xf numFmtId="49" fontId="17" fillId="4" borderId="13" xfId="0" applyNumberFormat="1" applyFont="1" applyFill="1" applyBorder="1" applyAlignment="1">
      <alignment horizontal="centerContinuous" vertical="center" wrapText="1"/>
    </xf>
    <xf numFmtId="49" fontId="16" fillId="0" borderId="10" xfId="0" applyNumberFormat="1" applyFont="1" applyBorder="1" applyAlignment="1">
      <alignment horizontal="centerContinuous" vertical="center"/>
    </xf>
    <xf numFmtId="0" fontId="3" fillId="9" borderId="1" xfId="0" applyFont="1" applyFill="1" applyBorder="1" applyAlignment="1">
      <alignment horizontal="center" vertical="center"/>
    </xf>
    <xf numFmtId="44" fontId="3" fillId="10" borderId="1" xfId="1" applyFont="1" applyFill="1" applyBorder="1" applyAlignment="1">
      <alignment horizontal="center" vertical="center"/>
    </xf>
    <xf numFmtId="44" fontId="3" fillId="8" borderId="1" xfId="1" applyFont="1" applyFill="1" applyBorder="1" applyAlignment="1">
      <alignment horizontal="center" vertical="center"/>
    </xf>
    <xf numFmtId="44" fontId="18" fillId="12" borderId="1" xfId="1" applyFont="1" applyFill="1" applyBorder="1" applyAlignment="1">
      <alignment horizontal="center" vertical="center"/>
    </xf>
    <xf numFmtId="44" fontId="18" fillId="8" borderId="1" xfId="1" applyFont="1" applyFill="1" applyBorder="1" applyAlignment="1">
      <alignment horizontal="center" vertical="center"/>
    </xf>
    <xf numFmtId="0" fontId="18" fillId="12" borderId="1" xfId="0" quotePrefix="1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1" fontId="18" fillId="12" borderId="1" xfId="0" applyNumberFormat="1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horizontal="left" vertical="center"/>
    </xf>
    <xf numFmtId="14" fontId="18" fillId="12" borderId="1" xfId="0" applyNumberFormat="1" applyFont="1" applyFill="1" applyBorder="1" applyAlignment="1">
      <alignment horizontal="center" vertical="center"/>
    </xf>
    <xf numFmtId="0" fontId="0" fillId="6" borderId="0" xfId="0" quotePrefix="1" applyFill="1"/>
    <xf numFmtId="44" fontId="18" fillId="4" borderId="1" xfId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" xfId="0" quotePrefix="1" applyFon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/>
    </xf>
    <xf numFmtId="14" fontId="18" fillId="4" borderId="1" xfId="0" quotePrefix="1" applyNumberFormat="1" applyFont="1" applyFill="1" applyBorder="1" applyAlignment="1">
      <alignment horizontal="center" vertical="center"/>
    </xf>
    <xf numFmtId="0" fontId="18" fillId="11" borderId="1" xfId="0" quotePrefix="1" applyFont="1" applyFill="1" applyBorder="1" applyAlignment="1">
      <alignment horizontal="center" vertical="center"/>
    </xf>
    <xf numFmtId="1" fontId="18" fillId="11" borderId="1" xfId="0" applyNumberFormat="1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left" vertical="center"/>
    </xf>
    <xf numFmtId="44" fontId="18" fillId="11" borderId="1" xfId="1" applyFont="1" applyFill="1" applyBorder="1" applyAlignment="1">
      <alignment horizontal="center" vertical="center"/>
    </xf>
    <xf numFmtId="14" fontId="18" fillId="11" borderId="1" xfId="0" applyNumberFormat="1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left" vertical="center"/>
    </xf>
    <xf numFmtId="44" fontId="18" fillId="10" borderId="1" xfId="1" applyFont="1" applyFill="1" applyBorder="1" applyAlignment="1">
      <alignment horizontal="center" vertical="center"/>
    </xf>
    <xf numFmtId="0" fontId="9" fillId="7" borderId="1" xfId="2" applyNumberFormat="1" applyFont="1" applyFill="1" applyBorder="1" applyAlignment="1">
      <alignment horizontal="center" vertical="center"/>
    </xf>
    <xf numFmtId="44" fontId="3" fillId="10" borderId="1" xfId="1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quotePrefix="1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14" fontId="18" fillId="3" borderId="1" xfId="0" applyNumberFormat="1" applyFont="1" applyFill="1" applyBorder="1" applyAlignment="1">
      <alignment horizontal="center" vertical="center"/>
    </xf>
    <xf numFmtId="44" fontId="18" fillId="10" borderId="1" xfId="1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44" fontId="3" fillId="8" borderId="1" xfId="1" applyFont="1" applyFill="1" applyBorder="1" applyAlignment="1">
      <alignment horizontal="left" vertical="center"/>
    </xf>
    <xf numFmtId="4" fontId="0" fillId="6" borderId="0" xfId="0" applyNumberFormat="1" applyFill="1"/>
    <xf numFmtId="44" fontId="0" fillId="6" borderId="0" xfId="0" applyNumberFormat="1" applyFill="1"/>
  </cellXfs>
  <cellStyles count="7">
    <cellStyle name="Moeda" xfId="1" builtinId="4"/>
    <cellStyle name="Moeda 2" xfId="3" xr:uid="{00000000-0005-0000-0000-000002000000}"/>
    <cellStyle name="Moeda 3" xfId="5" xr:uid="{10CF9D97-F468-4616-B05F-4C0F0C776601}"/>
    <cellStyle name="Normal" xfId="0" builtinId="0"/>
    <cellStyle name="Vírgula" xfId="2" builtinId="3"/>
    <cellStyle name="Vírgula 2" xfId="4" xr:uid="{00000000-0005-0000-0000-000005000000}"/>
    <cellStyle name="Vírgula 3" xfId="6" xr:uid="{F2250F72-3BF6-44EB-BCAC-44E38AC6FB46}"/>
  </cellStyles>
  <dxfs count="9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ECB0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Exibição 1" id="{925010BB-5994-4998-A688-18828C00DA35}"/>
</namedSheetView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W509"/>
  <sheetViews>
    <sheetView tabSelected="1" zoomScale="80" zoomScaleNormal="80" workbookViewId="0">
      <selection activeCell="I13" sqref="I13"/>
    </sheetView>
  </sheetViews>
  <sheetFormatPr defaultColWidth="0" defaultRowHeight="15" zeroHeight="1" outlineLevelRow="1" x14ac:dyDescent="0.25"/>
  <cols>
    <col min="1" max="1" width="3.85546875" customWidth="1"/>
    <col min="2" max="2" width="10" customWidth="1"/>
    <col min="3" max="5" width="14.28515625" customWidth="1"/>
    <col min="6" max="6" width="14.5703125" customWidth="1"/>
    <col min="7" max="7" width="9" customWidth="1"/>
    <col min="8" max="8" width="42.140625" customWidth="1"/>
    <col min="9" max="10" width="18.85546875" customWidth="1"/>
    <col min="11" max="11" width="16.140625" customWidth="1"/>
    <col min="12" max="12" width="15.7109375" customWidth="1"/>
    <col min="13" max="13" width="12.42578125" customWidth="1"/>
    <col min="14" max="14" width="15.28515625" customWidth="1"/>
    <col min="15" max="15" width="20.5703125" customWidth="1"/>
    <col min="16" max="16" width="14" customWidth="1"/>
    <col min="17" max="17" width="21.7109375" customWidth="1"/>
    <col min="18" max="18" width="17.42578125" style="23" customWidth="1"/>
    <col min="19" max="19" width="15.28515625" customWidth="1"/>
    <col min="20" max="20" width="23.42578125" bestFit="1" customWidth="1"/>
    <col min="21" max="21" width="3.85546875" customWidth="1"/>
    <col min="22" max="23" width="0" hidden="1" customWidth="1"/>
    <col min="24" max="16384" width="8.85546875" hidden="1"/>
  </cols>
  <sheetData>
    <row r="1" spans="1:21" ht="15.75" outlineLevel="1" thickBot="1" x14ac:dyDescent="0.3">
      <c r="A1" s="15"/>
      <c r="B1" s="15"/>
      <c r="C1" s="15"/>
      <c r="D1" s="15"/>
      <c r="E1" s="15"/>
      <c r="F1" s="15"/>
      <c r="G1" s="15"/>
      <c r="H1" s="16"/>
      <c r="I1" s="15"/>
      <c r="J1" s="16"/>
      <c r="K1" s="16"/>
      <c r="L1" s="15"/>
      <c r="M1" s="15"/>
      <c r="N1" s="15"/>
      <c r="O1" s="15"/>
      <c r="P1" s="15"/>
      <c r="Q1" s="15"/>
      <c r="R1" s="17"/>
      <c r="S1" s="15"/>
      <c r="T1" s="15"/>
      <c r="U1" s="15"/>
    </row>
    <row r="2" spans="1:21" ht="26.25" outlineLevel="1" thickBot="1" x14ac:dyDescent="0.5">
      <c r="A2" s="15"/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15"/>
    </row>
    <row r="3" spans="1:21" ht="27.75" customHeight="1" outlineLevel="1" thickBot="1" x14ac:dyDescent="0.3">
      <c r="A3" s="15"/>
      <c r="B3" s="26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/>
      <c r="T3" s="28"/>
      <c r="U3" s="15"/>
    </row>
    <row r="4" spans="1:21" ht="15.75" outlineLevel="1" thickBot="1" x14ac:dyDescent="0.3">
      <c r="A4" s="15"/>
      <c r="B4" s="18"/>
      <c r="C4" s="18"/>
      <c r="D4" s="18"/>
      <c r="E4" s="18"/>
      <c r="F4" s="18"/>
      <c r="G4" s="18"/>
      <c r="H4" s="19"/>
      <c r="I4" s="18"/>
      <c r="J4" s="19"/>
      <c r="K4" s="19"/>
      <c r="L4" s="18"/>
      <c r="M4" s="18"/>
      <c r="N4" s="18"/>
      <c r="O4" s="18"/>
      <c r="P4" s="18"/>
      <c r="Q4" s="18"/>
      <c r="R4" s="20"/>
      <c r="S4" s="18"/>
      <c r="T4" s="18"/>
      <c r="U4" s="15"/>
    </row>
    <row r="5" spans="1:21" ht="15.75" outlineLevel="1" thickBot="1" x14ac:dyDescent="0.3">
      <c r="A5" s="15"/>
      <c r="B5" s="18"/>
      <c r="C5" s="18"/>
      <c r="D5" s="18"/>
      <c r="E5" s="18"/>
      <c r="F5" s="18"/>
      <c r="G5" s="46"/>
      <c r="H5" s="19"/>
      <c r="I5" s="30">
        <f>SUBTOTAL(9,I7:I519)</f>
        <v>160284534.67831671</v>
      </c>
      <c r="J5" s="19"/>
      <c r="K5" s="19"/>
      <c r="L5" s="18"/>
      <c r="M5" s="18"/>
      <c r="N5" s="18"/>
      <c r="O5" s="18"/>
      <c r="P5" s="18"/>
      <c r="Q5" s="18"/>
      <c r="R5" s="20"/>
      <c r="S5" s="18"/>
      <c r="T5" s="18"/>
      <c r="U5" s="15"/>
    </row>
    <row r="6" spans="1:21" s="22" customFormat="1" ht="57" customHeight="1" x14ac:dyDescent="0.25">
      <c r="A6" s="21"/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29" t="s">
        <v>9</v>
      </c>
      <c r="J6" s="1" t="s">
        <v>10</v>
      </c>
      <c r="K6" s="1" t="s">
        <v>11</v>
      </c>
      <c r="L6" s="1" t="s">
        <v>12</v>
      </c>
      <c r="M6" s="1" t="s">
        <v>13</v>
      </c>
      <c r="N6" s="1" t="s">
        <v>14</v>
      </c>
      <c r="O6" s="1" t="s">
        <v>15</v>
      </c>
      <c r="P6" s="1" t="s">
        <v>16</v>
      </c>
      <c r="Q6" s="1" t="s">
        <v>17</v>
      </c>
      <c r="R6" s="2" t="s">
        <v>18</v>
      </c>
      <c r="S6" s="1" t="s">
        <v>19</v>
      </c>
      <c r="T6" s="1" t="s">
        <v>20</v>
      </c>
      <c r="U6" s="21"/>
    </row>
    <row r="7" spans="1:21" x14ac:dyDescent="0.25">
      <c r="A7" s="15"/>
      <c r="B7" s="3">
        <v>1</v>
      </c>
      <c r="C7" s="3" t="s">
        <v>21</v>
      </c>
      <c r="D7" s="4" t="s">
        <v>22</v>
      </c>
      <c r="E7" s="4">
        <v>3</v>
      </c>
      <c r="F7" s="3" t="s">
        <v>23</v>
      </c>
      <c r="G7" s="6" t="s">
        <v>24</v>
      </c>
      <c r="H7" s="14" t="s">
        <v>25</v>
      </c>
      <c r="I7" s="5">
        <v>90000</v>
      </c>
      <c r="J7" s="14" t="s">
        <v>26</v>
      </c>
      <c r="K7" s="4" t="s">
        <v>27</v>
      </c>
      <c r="L7" s="4" t="s">
        <v>28</v>
      </c>
      <c r="M7" s="4" t="s">
        <v>29</v>
      </c>
      <c r="N7" s="4" t="s">
        <v>30</v>
      </c>
      <c r="O7" s="4" t="s">
        <v>31</v>
      </c>
      <c r="P7" s="4" t="s">
        <v>32</v>
      </c>
      <c r="Q7" s="4" t="s">
        <v>33</v>
      </c>
      <c r="R7" s="11">
        <v>45591</v>
      </c>
      <c r="S7" s="4" t="s">
        <v>34</v>
      </c>
      <c r="T7" s="4" t="s">
        <v>35</v>
      </c>
      <c r="U7" s="15"/>
    </row>
    <row r="8" spans="1:21" x14ac:dyDescent="0.25">
      <c r="A8" s="15"/>
      <c r="B8" s="7">
        <v>2</v>
      </c>
      <c r="C8" s="7" t="s">
        <v>21</v>
      </c>
      <c r="D8" s="8" t="s">
        <v>22</v>
      </c>
      <c r="E8" s="8">
        <v>3</v>
      </c>
      <c r="F8" s="7" t="s">
        <v>36</v>
      </c>
      <c r="G8" s="10" t="s">
        <v>24</v>
      </c>
      <c r="H8" s="13" t="s">
        <v>37</v>
      </c>
      <c r="I8" s="101">
        <f>146211.156-12000</f>
        <v>134211.15599999999</v>
      </c>
      <c r="J8" s="13" t="s">
        <v>38</v>
      </c>
      <c r="K8" s="8" t="s">
        <v>39</v>
      </c>
      <c r="L8" s="8" t="s">
        <v>40</v>
      </c>
      <c r="M8" s="8" t="s">
        <v>29</v>
      </c>
      <c r="N8" s="8" t="s">
        <v>30</v>
      </c>
      <c r="O8" s="8" t="s">
        <v>31</v>
      </c>
      <c r="P8" s="8" t="s">
        <v>41</v>
      </c>
      <c r="Q8" s="7" t="s">
        <v>42</v>
      </c>
      <c r="R8" s="12">
        <v>45292</v>
      </c>
      <c r="S8" s="8" t="s">
        <v>43</v>
      </c>
      <c r="T8" s="7" t="s">
        <v>44</v>
      </c>
      <c r="U8" s="15"/>
    </row>
    <row r="9" spans="1:21" x14ac:dyDescent="0.25">
      <c r="A9" s="15"/>
      <c r="B9" s="3">
        <v>3</v>
      </c>
      <c r="C9" s="3" t="s">
        <v>21</v>
      </c>
      <c r="D9" s="4" t="s">
        <v>22</v>
      </c>
      <c r="E9" s="4">
        <v>3</v>
      </c>
      <c r="F9" s="3" t="s">
        <v>45</v>
      </c>
      <c r="G9" s="6" t="s">
        <v>24</v>
      </c>
      <c r="H9" s="14" t="s">
        <v>46</v>
      </c>
      <c r="I9" s="100">
        <v>2564830.5099999998</v>
      </c>
      <c r="J9" s="14" t="s">
        <v>47</v>
      </c>
      <c r="K9" s="4" t="s">
        <v>48</v>
      </c>
      <c r="L9" s="4" t="s">
        <v>40</v>
      </c>
      <c r="M9" s="4" t="s">
        <v>29</v>
      </c>
      <c r="N9" s="4" t="s">
        <v>30</v>
      </c>
      <c r="O9" s="4" t="s">
        <v>49</v>
      </c>
      <c r="P9" s="4" t="s">
        <v>50</v>
      </c>
      <c r="Q9" s="4" t="s">
        <v>51</v>
      </c>
      <c r="R9" s="11" t="s">
        <v>52</v>
      </c>
      <c r="S9" s="4" t="s">
        <v>34</v>
      </c>
      <c r="T9" s="86" t="s">
        <v>53</v>
      </c>
      <c r="U9" s="15"/>
    </row>
    <row r="10" spans="1:21" x14ac:dyDescent="0.25">
      <c r="A10" s="15"/>
      <c r="B10" s="7">
        <v>4</v>
      </c>
      <c r="C10" s="7" t="s">
        <v>21</v>
      </c>
      <c r="D10" s="8" t="s">
        <v>22</v>
      </c>
      <c r="E10" s="8">
        <v>3</v>
      </c>
      <c r="F10" s="7" t="s">
        <v>54</v>
      </c>
      <c r="G10" s="10" t="s">
        <v>24</v>
      </c>
      <c r="H10" s="13" t="s">
        <v>55</v>
      </c>
      <c r="I10" s="9">
        <v>269000</v>
      </c>
      <c r="J10" s="13" t="s">
        <v>47</v>
      </c>
      <c r="K10" s="8" t="s">
        <v>48</v>
      </c>
      <c r="L10" s="8" t="s">
        <v>40</v>
      </c>
      <c r="M10" s="8" t="s">
        <v>29</v>
      </c>
      <c r="N10" s="8" t="s">
        <v>30</v>
      </c>
      <c r="O10" s="8" t="s">
        <v>49</v>
      </c>
      <c r="P10" s="8" t="s">
        <v>56</v>
      </c>
      <c r="Q10" s="7" t="s">
        <v>57</v>
      </c>
      <c r="R10" s="12" t="s">
        <v>58</v>
      </c>
      <c r="S10" s="8" t="s">
        <v>34</v>
      </c>
      <c r="T10" s="7" t="s">
        <v>59</v>
      </c>
      <c r="U10" s="15"/>
    </row>
    <row r="11" spans="1:21" x14ac:dyDescent="0.25">
      <c r="A11" s="15"/>
      <c r="B11" s="3">
        <v>5</v>
      </c>
      <c r="C11" s="3" t="s">
        <v>21</v>
      </c>
      <c r="D11" s="4" t="s">
        <v>22</v>
      </c>
      <c r="E11" s="4">
        <v>3</v>
      </c>
      <c r="F11" s="3" t="s">
        <v>60</v>
      </c>
      <c r="G11" s="6" t="s">
        <v>24</v>
      </c>
      <c r="H11" s="14" t="s">
        <v>61</v>
      </c>
      <c r="I11" s="103">
        <v>1790805.31</v>
      </c>
      <c r="J11" s="14" t="s">
        <v>47</v>
      </c>
      <c r="K11" s="4" t="s">
        <v>48</v>
      </c>
      <c r="L11" s="4" t="s">
        <v>40</v>
      </c>
      <c r="M11" s="4" t="s">
        <v>29</v>
      </c>
      <c r="N11" s="4" t="s">
        <v>30</v>
      </c>
      <c r="O11" s="4" t="s">
        <v>31</v>
      </c>
      <c r="P11" s="4" t="s">
        <v>62</v>
      </c>
      <c r="Q11" s="4" t="s">
        <v>63</v>
      </c>
      <c r="R11" s="11">
        <v>45458</v>
      </c>
      <c r="S11" s="4" t="s">
        <v>43</v>
      </c>
      <c r="T11" s="4" t="s">
        <v>64</v>
      </c>
      <c r="U11" s="15"/>
    </row>
    <row r="12" spans="1:21" x14ac:dyDescent="0.25">
      <c r="A12" s="15"/>
      <c r="B12" s="7">
        <v>6</v>
      </c>
      <c r="C12" s="7" t="s">
        <v>21</v>
      </c>
      <c r="D12" s="8" t="s">
        <v>22</v>
      </c>
      <c r="E12" s="8">
        <v>3</v>
      </c>
      <c r="F12" s="7" t="s">
        <v>65</v>
      </c>
      <c r="G12" s="10" t="s">
        <v>24</v>
      </c>
      <c r="H12" s="13" t="s">
        <v>66</v>
      </c>
      <c r="I12" s="9">
        <v>92120.020799999998</v>
      </c>
      <c r="J12" s="13" t="s">
        <v>47</v>
      </c>
      <c r="K12" s="8" t="s">
        <v>48</v>
      </c>
      <c r="L12" s="8" t="s">
        <v>40</v>
      </c>
      <c r="M12" s="8" t="s">
        <v>29</v>
      </c>
      <c r="N12" s="8" t="s">
        <v>30</v>
      </c>
      <c r="O12" s="8" t="s">
        <v>31</v>
      </c>
      <c r="P12" s="8" t="s">
        <v>67</v>
      </c>
      <c r="Q12" s="7" t="s">
        <v>68</v>
      </c>
      <c r="R12" s="12">
        <v>45498</v>
      </c>
      <c r="S12" s="8" t="s">
        <v>69</v>
      </c>
      <c r="T12" s="7" t="s">
        <v>70</v>
      </c>
      <c r="U12" s="15"/>
    </row>
    <row r="13" spans="1:21" x14ac:dyDescent="0.25">
      <c r="A13" s="15"/>
      <c r="B13" s="3">
        <v>7</v>
      </c>
      <c r="C13" s="3" t="s">
        <v>21</v>
      </c>
      <c r="D13" s="4" t="s">
        <v>22</v>
      </c>
      <c r="E13" s="4">
        <v>3</v>
      </c>
      <c r="F13" s="3" t="s">
        <v>71</v>
      </c>
      <c r="G13" s="6" t="s">
        <v>24</v>
      </c>
      <c r="H13" s="14" t="s">
        <v>72</v>
      </c>
      <c r="I13" s="5">
        <v>7403.04</v>
      </c>
      <c r="J13" s="14" t="s">
        <v>47</v>
      </c>
      <c r="K13" s="4" t="s">
        <v>48</v>
      </c>
      <c r="L13" s="4" t="s">
        <v>40</v>
      </c>
      <c r="M13" s="4" t="s">
        <v>29</v>
      </c>
      <c r="N13" s="4" t="s">
        <v>30</v>
      </c>
      <c r="O13" s="4" t="s">
        <v>31</v>
      </c>
      <c r="P13" s="4" t="s">
        <v>73</v>
      </c>
      <c r="Q13" s="4" t="s">
        <v>74</v>
      </c>
      <c r="R13" s="11">
        <v>45494</v>
      </c>
      <c r="S13" s="4" t="s">
        <v>69</v>
      </c>
      <c r="T13" s="86" t="s">
        <v>75</v>
      </c>
      <c r="U13" s="15"/>
    </row>
    <row r="14" spans="1:21" x14ac:dyDescent="0.25">
      <c r="A14" s="15"/>
      <c r="B14" s="7"/>
      <c r="C14" s="7"/>
      <c r="D14" s="8"/>
      <c r="E14" s="8"/>
      <c r="F14" s="7"/>
      <c r="G14" s="10"/>
      <c r="H14" s="13" t="s">
        <v>76</v>
      </c>
      <c r="I14" s="9"/>
      <c r="J14" s="13"/>
      <c r="K14" s="8"/>
      <c r="L14" s="8"/>
      <c r="M14" s="8"/>
      <c r="N14" s="8"/>
      <c r="O14" s="8"/>
      <c r="P14" s="8"/>
      <c r="Q14" s="7"/>
      <c r="R14" s="12"/>
      <c r="S14" s="8"/>
      <c r="T14" s="7"/>
      <c r="U14" s="15"/>
    </row>
    <row r="15" spans="1:21" x14ac:dyDescent="0.25">
      <c r="A15" s="15"/>
      <c r="B15" s="3">
        <v>9</v>
      </c>
      <c r="C15" s="3" t="s">
        <v>21</v>
      </c>
      <c r="D15" s="4" t="s">
        <v>22</v>
      </c>
      <c r="E15" s="4">
        <v>3</v>
      </c>
      <c r="F15" s="3" t="s">
        <v>77</v>
      </c>
      <c r="G15" s="6" t="s">
        <v>24</v>
      </c>
      <c r="H15" s="14" t="s">
        <v>78</v>
      </c>
      <c r="I15" s="101">
        <f>5300000-42276.0882999971-656368</f>
        <v>4601355.9117000028</v>
      </c>
      <c r="J15" s="14" t="s">
        <v>79</v>
      </c>
      <c r="K15" s="4" t="s">
        <v>80</v>
      </c>
      <c r="L15" s="4" t="s">
        <v>40</v>
      </c>
      <c r="M15" s="4" t="s">
        <v>29</v>
      </c>
      <c r="N15" s="4" t="s">
        <v>30</v>
      </c>
      <c r="O15" s="4" t="s">
        <v>49</v>
      </c>
      <c r="P15" s="4" t="s">
        <v>81</v>
      </c>
      <c r="Q15" s="4" t="s">
        <v>82</v>
      </c>
      <c r="R15" s="11" t="s">
        <v>58</v>
      </c>
      <c r="S15" s="4" t="s">
        <v>43</v>
      </c>
      <c r="T15" s="4" t="s">
        <v>83</v>
      </c>
      <c r="U15" s="15"/>
    </row>
    <row r="16" spans="1:21" x14ac:dyDescent="0.25">
      <c r="A16" s="15"/>
      <c r="B16" s="7">
        <v>10</v>
      </c>
      <c r="C16" s="7" t="s">
        <v>21</v>
      </c>
      <c r="D16" s="8" t="s">
        <v>22</v>
      </c>
      <c r="E16" s="8">
        <v>3</v>
      </c>
      <c r="F16" s="7" t="s">
        <v>84</v>
      </c>
      <c r="G16" s="10" t="s">
        <v>24</v>
      </c>
      <c r="H16" s="13" t="s">
        <v>85</v>
      </c>
      <c r="I16" s="101">
        <f>835232.3385-384632</f>
        <v>450600.33849999995</v>
      </c>
      <c r="J16" s="13" t="s">
        <v>79</v>
      </c>
      <c r="K16" s="8" t="s">
        <v>80</v>
      </c>
      <c r="L16" s="8" t="s">
        <v>40</v>
      </c>
      <c r="M16" s="8" t="s">
        <v>29</v>
      </c>
      <c r="N16" s="8" t="s">
        <v>30</v>
      </c>
      <c r="O16" s="8" t="s">
        <v>31</v>
      </c>
      <c r="P16" s="8" t="s">
        <v>86</v>
      </c>
      <c r="Q16" s="7" t="s">
        <v>87</v>
      </c>
      <c r="R16" s="12">
        <v>45358</v>
      </c>
      <c r="S16" s="8" t="s">
        <v>43</v>
      </c>
      <c r="T16" s="99" t="s">
        <v>88</v>
      </c>
      <c r="U16" s="15"/>
    </row>
    <row r="17" spans="1:21" x14ac:dyDescent="0.25">
      <c r="A17" s="15"/>
      <c r="B17" s="3">
        <v>11</v>
      </c>
      <c r="C17" s="3" t="s">
        <v>21</v>
      </c>
      <c r="D17" s="4" t="s">
        <v>22</v>
      </c>
      <c r="E17" s="4">
        <v>3</v>
      </c>
      <c r="F17" s="3" t="s">
        <v>89</v>
      </c>
      <c r="G17" s="6" t="s">
        <v>24</v>
      </c>
      <c r="H17" s="14" t="s">
        <v>90</v>
      </c>
      <c r="I17" s="5">
        <v>102606.3</v>
      </c>
      <c r="J17" s="14" t="s">
        <v>79</v>
      </c>
      <c r="K17" s="4" t="s">
        <v>80</v>
      </c>
      <c r="L17" s="4" t="s">
        <v>40</v>
      </c>
      <c r="M17" s="4" t="s">
        <v>29</v>
      </c>
      <c r="N17" s="4" t="s">
        <v>30</v>
      </c>
      <c r="O17" s="4" t="s">
        <v>31</v>
      </c>
      <c r="P17" s="4" t="s">
        <v>91</v>
      </c>
      <c r="Q17" s="4" t="s">
        <v>92</v>
      </c>
      <c r="R17" s="11">
        <v>45426</v>
      </c>
      <c r="S17" s="4" t="s">
        <v>43</v>
      </c>
      <c r="T17" s="86" t="s">
        <v>93</v>
      </c>
      <c r="U17" s="15"/>
    </row>
    <row r="18" spans="1:21" x14ac:dyDescent="0.25">
      <c r="A18" s="15"/>
      <c r="B18" s="7">
        <v>12</v>
      </c>
      <c r="C18" s="7" t="s">
        <v>21</v>
      </c>
      <c r="D18" s="8" t="s">
        <v>22</v>
      </c>
      <c r="E18" s="8">
        <v>3</v>
      </c>
      <c r="F18" s="7" t="s">
        <v>89</v>
      </c>
      <c r="G18" s="10" t="s">
        <v>24</v>
      </c>
      <c r="H18" s="13" t="s">
        <v>94</v>
      </c>
      <c r="I18" s="9">
        <v>197393.7</v>
      </c>
      <c r="J18" s="13" t="s">
        <v>79</v>
      </c>
      <c r="K18" s="8" t="s">
        <v>80</v>
      </c>
      <c r="L18" s="8" t="s">
        <v>40</v>
      </c>
      <c r="M18" s="8" t="s">
        <v>29</v>
      </c>
      <c r="N18" s="8" t="s">
        <v>30</v>
      </c>
      <c r="O18" s="8" t="s">
        <v>95</v>
      </c>
      <c r="P18" s="8" t="s">
        <v>96</v>
      </c>
      <c r="Q18" s="99" t="s">
        <v>830</v>
      </c>
      <c r="R18" s="12">
        <v>45504</v>
      </c>
      <c r="S18" s="8" t="s">
        <v>69</v>
      </c>
      <c r="T18" s="99" t="s">
        <v>93</v>
      </c>
      <c r="U18" s="15"/>
    </row>
    <row r="19" spans="1:21" x14ac:dyDescent="0.25">
      <c r="A19" s="15"/>
      <c r="B19" s="3">
        <v>13.1</v>
      </c>
      <c r="C19" s="3" t="s">
        <v>21</v>
      </c>
      <c r="D19" s="4" t="s">
        <v>22</v>
      </c>
      <c r="E19" s="4">
        <v>3</v>
      </c>
      <c r="F19" s="3" t="s">
        <v>97</v>
      </c>
      <c r="G19" s="6" t="s">
        <v>24</v>
      </c>
      <c r="H19" s="14" t="s">
        <v>98</v>
      </c>
      <c r="I19" s="5">
        <v>35568.17</v>
      </c>
      <c r="J19" s="14" t="s">
        <v>79</v>
      </c>
      <c r="K19" s="4" t="s">
        <v>80</v>
      </c>
      <c r="L19" s="4" t="s">
        <v>40</v>
      </c>
      <c r="M19" s="4" t="s">
        <v>29</v>
      </c>
      <c r="N19" s="4" t="s">
        <v>30</v>
      </c>
      <c r="O19" s="4" t="s">
        <v>31</v>
      </c>
      <c r="P19" s="4" t="s">
        <v>99</v>
      </c>
      <c r="Q19" s="4" t="s">
        <v>100</v>
      </c>
      <c r="R19" s="11">
        <v>45382</v>
      </c>
      <c r="S19" s="4" t="s">
        <v>69</v>
      </c>
      <c r="T19" s="4" t="s">
        <v>101</v>
      </c>
      <c r="U19" s="15"/>
    </row>
    <row r="20" spans="1:21" x14ac:dyDescent="0.25">
      <c r="A20" s="15"/>
      <c r="B20" s="7">
        <v>13.2</v>
      </c>
      <c r="C20" s="7" t="s">
        <v>21</v>
      </c>
      <c r="D20" s="8" t="s">
        <v>22</v>
      </c>
      <c r="E20" s="8">
        <v>3</v>
      </c>
      <c r="F20" s="7" t="s">
        <v>97</v>
      </c>
      <c r="G20" s="10" t="s">
        <v>24</v>
      </c>
      <c r="H20" s="13" t="s">
        <v>98</v>
      </c>
      <c r="I20" s="9">
        <v>1591.65</v>
      </c>
      <c r="J20" s="13" t="s">
        <v>79</v>
      </c>
      <c r="K20" s="8" t="s">
        <v>80</v>
      </c>
      <c r="L20" s="8" t="s">
        <v>40</v>
      </c>
      <c r="M20" s="8" t="s">
        <v>29</v>
      </c>
      <c r="N20" s="8" t="s">
        <v>30</v>
      </c>
      <c r="O20" s="8" t="s">
        <v>31</v>
      </c>
      <c r="P20" s="8" t="s">
        <v>102</v>
      </c>
      <c r="Q20" s="7" t="s">
        <v>103</v>
      </c>
      <c r="R20" s="12">
        <v>45396</v>
      </c>
      <c r="S20" s="8" t="s">
        <v>69</v>
      </c>
      <c r="T20" s="7" t="s">
        <v>101</v>
      </c>
      <c r="U20" s="15"/>
    </row>
    <row r="21" spans="1:21" x14ac:dyDescent="0.25">
      <c r="A21" s="15"/>
      <c r="B21" s="3">
        <v>14</v>
      </c>
      <c r="C21" s="3" t="s">
        <v>21</v>
      </c>
      <c r="D21" s="4" t="s">
        <v>22</v>
      </c>
      <c r="E21" s="4">
        <v>3</v>
      </c>
      <c r="F21" s="3" t="s">
        <v>104</v>
      </c>
      <c r="G21" s="6" t="s">
        <v>24</v>
      </c>
      <c r="H21" s="14" t="s">
        <v>105</v>
      </c>
      <c r="I21" s="5">
        <v>35000</v>
      </c>
      <c r="J21" s="14" t="s">
        <v>79</v>
      </c>
      <c r="K21" s="4" t="s">
        <v>80</v>
      </c>
      <c r="L21" s="4" t="s">
        <v>40</v>
      </c>
      <c r="M21" s="4" t="s">
        <v>106</v>
      </c>
      <c r="N21" s="4" t="s">
        <v>29</v>
      </c>
      <c r="O21" s="4" t="s">
        <v>31</v>
      </c>
      <c r="P21" s="4" t="s">
        <v>107</v>
      </c>
      <c r="Q21" s="4" t="s">
        <v>108</v>
      </c>
      <c r="R21" s="11">
        <v>45539</v>
      </c>
      <c r="S21" s="4" t="s">
        <v>34</v>
      </c>
      <c r="T21" s="4" t="s">
        <v>109</v>
      </c>
      <c r="U21" s="15"/>
    </row>
    <row r="22" spans="1:21" x14ac:dyDescent="0.25">
      <c r="A22" s="15"/>
      <c r="B22" s="7">
        <v>15</v>
      </c>
      <c r="C22" s="7" t="s">
        <v>21</v>
      </c>
      <c r="D22" s="8" t="s">
        <v>22</v>
      </c>
      <c r="E22" s="8">
        <v>3</v>
      </c>
      <c r="F22" s="7" t="s">
        <v>71</v>
      </c>
      <c r="G22" s="10" t="s">
        <v>24</v>
      </c>
      <c r="H22" s="13" t="s">
        <v>110</v>
      </c>
      <c r="I22" s="101">
        <f>44519.42-3248.8-17556.86</f>
        <v>23713.759999999995</v>
      </c>
      <c r="J22" s="13" t="s">
        <v>111</v>
      </c>
      <c r="K22" s="8" t="s">
        <v>112</v>
      </c>
      <c r="L22" s="8" t="s">
        <v>40</v>
      </c>
      <c r="M22" s="8" t="s">
        <v>29</v>
      </c>
      <c r="N22" s="8" t="s">
        <v>29</v>
      </c>
      <c r="O22" s="8" t="s">
        <v>95</v>
      </c>
      <c r="P22" s="8" t="s">
        <v>113</v>
      </c>
      <c r="Q22" s="7"/>
      <c r="R22" s="12">
        <v>45383</v>
      </c>
      <c r="S22" s="8" t="s">
        <v>69</v>
      </c>
      <c r="T22" s="7" t="s">
        <v>114</v>
      </c>
      <c r="U22" s="15"/>
    </row>
    <row r="23" spans="1:21" x14ac:dyDescent="0.25">
      <c r="A23" s="15"/>
      <c r="B23" s="3">
        <v>16.100000000000001</v>
      </c>
      <c r="C23" s="3" t="s">
        <v>21</v>
      </c>
      <c r="D23" s="4" t="s">
        <v>22</v>
      </c>
      <c r="E23" s="4">
        <v>3</v>
      </c>
      <c r="F23" s="3" t="s">
        <v>115</v>
      </c>
      <c r="G23" s="6" t="s">
        <v>24</v>
      </c>
      <c r="H23" s="14" t="s">
        <v>116</v>
      </c>
      <c r="I23" s="5">
        <v>10000</v>
      </c>
      <c r="J23" s="14" t="s">
        <v>117</v>
      </c>
      <c r="K23" s="4" t="s">
        <v>112</v>
      </c>
      <c r="L23" s="4" t="s">
        <v>40</v>
      </c>
      <c r="M23" s="4" t="s">
        <v>29</v>
      </c>
      <c r="N23" s="4" t="s">
        <v>30</v>
      </c>
      <c r="O23" s="4" t="s">
        <v>49</v>
      </c>
      <c r="P23" s="4" t="s">
        <v>118</v>
      </c>
      <c r="Q23" s="4" t="s">
        <v>119</v>
      </c>
      <c r="R23" s="11"/>
      <c r="S23" s="4" t="s">
        <v>69</v>
      </c>
      <c r="T23" s="4" t="s">
        <v>120</v>
      </c>
      <c r="U23" s="15"/>
    </row>
    <row r="24" spans="1:21" x14ac:dyDescent="0.25">
      <c r="A24" s="15"/>
      <c r="B24" s="7">
        <v>16.2</v>
      </c>
      <c r="C24" s="7" t="s">
        <v>21</v>
      </c>
      <c r="D24" s="8" t="s">
        <v>22</v>
      </c>
      <c r="E24" s="8">
        <v>4</v>
      </c>
      <c r="F24" s="7" t="s">
        <v>121</v>
      </c>
      <c r="G24" s="10" t="s">
        <v>24</v>
      </c>
      <c r="H24" s="13" t="s">
        <v>116</v>
      </c>
      <c r="I24" s="101">
        <f>(260000/12)*5-7911.65</f>
        <v>100421.68333333335</v>
      </c>
      <c r="J24" s="13" t="s">
        <v>117</v>
      </c>
      <c r="K24" s="8" t="s">
        <v>112</v>
      </c>
      <c r="L24" s="8" t="s">
        <v>40</v>
      </c>
      <c r="M24" s="8" t="s">
        <v>29</v>
      </c>
      <c r="N24" s="8" t="s">
        <v>30</v>
      </c>
      <c r="O24" s="8" t="s">
        <v>49</v>
      </c>
      <c r="P24" s="8" t="s">
        <v>118</v>
      </c>
      <c r="Q24" s="7" t="s">
        <v>119</v>
      </c>
      <c r="R24" s="12"/>
      <c r="S24" s="8" t="s">
        <v>69</v>
      </c>
      <c r="T24" s="7" t="s">
        <v>120</v>
      </c>
      <c r="U24" s="15"/>
    </row>
    <row r="25" spans="1:21" x14ac:dyDescent="0.25">
      <c r="A25" s="15"/>
      <c r="B25" s="3">
        <v>16.3</v>
      </c>
      <c r="C25" s="3" t="s">
        <v>21</v>
      </c>
      <c r="D25" s="4" t="s">
        <v>22</v>
      </c>
      <c r="E25" s="4">
        <v>3</v>
      </c>
      <c r="F25" s="3" t="s">
        <v>115</v>
      </c>
      <c r="G25" s="6" t="s">
        <v>24</v>
      </c>
      <c r="H25" s="14" t="s">
        <v>116</v>
      </c>
      <c r="I25" s="5">
        <v>40000</v>
      </c>
      <c r="J25" s="14" t="s">
        <v>117</v>
      </c>
      <c r="K25" s="4" t="s">
        <v>112</v>
      </c>
      <c r="L25" s="4" t="s">
        <v>40</v>
      </c>
      <c r="M25" s="4" t="s">
        <v>29</v>
      </c>
      <c r="N25" s="4" t="s">
        <v>30</v>
      </c>
      <c r="O25" s="4" t="s">
        <v>95</v>
      </c>
      <c r="P25" s="4" t="s">
        <v>122</v>
      </c>
      <c r="Q25" s="4"/>
      <c r="R25" s="11">
        <v>45436</v>
      </c>
      <c r="S25" s="4" t="s">
        <v>69</v>
      </c>
      <c r="T25" s="4" t="s">
        <v>120</v>
      </c>
      <c r="U25" s="15"/>
    </row>
    <row r="26" spans="1:21" x14ac:dyDescent="0.25">
      <c r="A26" s="15"/>
      <c r="B26" s="7">
        <v>16.399999999999999</v>
      </c>
      <c r="C26" s="7" t="s">
        <v>21</v>
      </c>
      <c r="D26" s="8" t="s">
        <v>22</v>
      </c>
      <c r="E26" s="8">
        <v>4</v>
      </c>
      <c r="F26" s="7" t="s">
        <v>121</v>
      </c>
      <c r="G26" s="10" t="s">
        <v>24</v>
      </c>
      <c r="H26" s="13" t="s">
        <v>116</v>
      </c>
      <c r="I26" s="101">
        <f>(260000/12)*7-702.91-13408.766</f>
        <v>137554.99066666668</v>
      </c>
      <c r="J26" s="13" t="s">
        <v>117</v>
      </c>
      <c r="K26" s="8" t="s">
        <v>112</v>
      </c>
      <c r="L26" s="8" t="s">
        <v>40</v>
      </c>
      <c r="M26" s="8" t="s">
        <v>29</v>
      </c>
      <c r="N26" s="8" t="s">
        <v>30</v>
      </c>
      <c r="O26" s="8" t="s">
        <v>95</v>
      </c>
      <c r="P26" s="8" t="s">
        <v>122</v>
      </c>
      <c r="Q26" s="7"/>
      <c r="R26" s="12">
        <v>45436</v>
      </c>
      <c r="S26" s="8" t="s">
        <v>69</v>
      </c>
      <c r="T26" s="7" t="s">
        <v>120</v>
      </c>
      <c r="U26" s="15"/>
    </row>
    <row r="27" spans="1:21" x14ac:dyDescent="0.25">
      <c r="A27" s="15"/>
      <c r="B27" s="3">
        <v>17</v>
      </c>
      <c r="C27" s="3" t="s">
        <v>21</v>
      </c>
      <c r="D27" s="4" t="s">
        <v>22</v>
      </c>
      <c r="E27" s="4">
        <v>3</v>
      </c>
      <c r="F27" s="3" t="s">
        <v>123</v>
      </c>
      <c r="G27" s="6" t="s">
        <v>24</v>
      </c>
      <c r="H27" s="14" t="s">
        <v>124</v>
      </c>
      <c r="I27" s="5">
        <v>5451.3256000000001</v>
      </c>
      <c r="J27" s="14" t="s">
        <v>125</v>
      </c>
      <c r="K27" s="4" t="s">
        <v>112</v>
      </c>
      <c r="L27" s="4" t="s">
        <v>40</v>
      </c>
      <c r="M27" s="4" t="s">
        <v>29</v>
      </c>
      <c r="N27" s="4" t="s">
        <v>29</v>
      </c>
      <c r="O27" s="4" t="s">
        <v>126</v>
      </c>
      <c r="P27" s="4" t="s">
        <v>127</v>
      </c>
      <c r="Q27" s="4"/>
      <c r="R27" s="11">
        <v>45444</v>
      </c>
      <c r="S27" s="4" t="s">
        <v>34</v>
      </c>
      <c r="T27" s="4" t="s">
        <v>128</v>
      </c>
      <c r="U27" s="15"/>
    </row>
    <row r="28" spans="1:21" x14ac:dyDescent="0.25">
      <c r="A28" s="15"/>
      <c r="B28" s="7"/>
      <c r="C28" s="7"/>
      <c r="D28" s="8"/>
      <c r="E28" s="8"/>
      <c r="F28" s="7"/>
      <c r="G28" s="10"/>
      <c r="H28" s="133" t="s">
        <v>76</v>
      </c>
      <c r="I28" s="13"/>
      <c r="J28" s="13"/>
      <c r="K28" s="8"/>
      <c r="L28" s="8"/>
      <c r="M28" s="8"/>
      <c r="N28" s="8"/>
      <c r="O28" s="8"/>
      <c r="P28" s="8"/>
      <c r="Q28" s="7"/>
      <c r="R28" s="12"/>
      <c r="S28" s="8"/>
      <c r="T28" s="99"/>
      <c r="U28" s="15"/>
    </row>
    <row r="29" spans="1:21" x14ac:dyDescent="0.25">
      <c r="A29" s="15"/>
      <c r="B29" s="3"/>
      <c r="C29" s="3"/>
      <c r="D29" s="4"/>
      <c r="E29" s="4"/>
      <c r="F29" s="3"/>
      <c r="G29" s="6"/>
      <c r="H29" s="14" t="s">
        <v>76</v>
      </c>
      <c r="I29" s="5"/>
      <c r="J29" s="14"/>
      <c r="K29" s="4"/>
      <c r="L29" s="4"/>
      <c r="M29" s="4"/>
      <c r="N29" s="4"/>
      <c r="O29" s="4"/>
      <c r="P29" s="4"/>
      <c r="Q29" s="4"/>
      <c r="R29" s="11"/>
      <c r="S29" s="4"/>
      <c r="T29" s="4"/>
      <c r="U29" s="15"/>
    </row>
    <row r="30" spans="1:21" x14ac:dyDescent="0.25">
      <c r="A30" s="15"/>
      <c r="B30" s="99">
        <v>19</v>
      </c>
      <c r="C30" s="7" t="s">
        <v>21</v>
      </c>
      <c r="D30" s="8" t="s">
        <v>22</v>
      </c>
      <c r="E30" s="8">
        <v>3</v>
      </c>
      <c r="F30" s="7" t="s">
        <v>130</v>
      </c>
      <c r="G30" s="10" t="s">
        <v>24</v>
      </c>
      <c r="H30" s="13" t="s">
        <v>131</v>
      </c>
      <c r="I30" s="100">
        <f>87236.52+9086.04833333333</f>
        <v>96322.568333333329</v>
      </c>
      <c r="J30" s="13" t="s">
        <v>132</v>
      </c>
      <c r="K30" s="8" t="s">
        <v>133</v>
      </c>
      <c r="L30" s="8" t="s">
        <v>40</v>
      </c>
      <c r="M30" s="8" t="s">
        <v>29</v>
      </c>
      <c r="N30" s="8" t="s">
        <v>29</v>
      </c>
      <c r="O30" s="8" t="s">
        <v>95</v>
      </c>
      <c r="P30" s="8" t="s">
        <v>135</v>
      </c>
      <c r="Q30" s="7" t="s">
        <v>58</v>
      </c>
      <c r="R30" s="12">
        <v>45336</v>
      </c>
      <c r="S30" s="8" t="s">
        <v>34</v>
      </c>
      <c r="T30" s="7" t="s">
        <v>134</v>
      </c>
      <c r="U30" s="15"/>
    </row>
    <row r="31" spans="1:21" x14ac:dyDescent="0.25">
      <c r="A31" s="15"/>
      <c r="B31" s="99">
        <v>20</v>
      </c>
      <c r="C31" s="3" t="s">
        <v>21</v>
      </c>
      <c r="D31" s="4" t="s">
        <v>22</v>
      </c>
      <c r="E31" s="4">
        <v>3</v>
      </c>
      <c r="F31" s="3" t="s">
        <v>130</v>
      </c>
      <c r="G31" s="6" t="s">
        <v>24</v>
      </c>
      <c r="H31" s="14" t="s">
        <v>136</v>
      </c>
      <c r="I31" s="100">
        <f>21659.92</f>
        <v>21659.919999999998</v>
      </c>
      <c r="J31" s="14" t="s">
        <v>137</v>
      </c>
      <c r="K31" s="4" t="s">
        <v>133</v>
      </c>
      <c r="L31" s="4" t="s">
        <v>40</v>
      </c>
      <c r="M31" s="4" t="s">
        <v>29</v>
      </c>
      <c r="N31" s="4" t="s">
        <v>29</v>
      </c>
      <c r="O31" s="4" t="s">
        <v>49</v>
      </c>
      <c r="P31" s="4" t="s">
        <v>138</v>
      </c>
      <c r="Q31" s="4" t="s">
        <v>139</v>
      </c>
      <c r="R31" s="11" t="s">
        <v>58</v>
      </c>
      <c r="S31" s="4" t="s">
        <v>34</v>
      </c>
      <c r="T31" s="86" t="s">
        <v>839</v>
      </c>
      <c r="U31" s="15"/>
    </row>
    <row r="32" spans="1:21" x14ac:dyDescent="0.25">
      <c r="A32" s="15"/>
      <c r="B32" s="7"/>
      <c r="C32" s="7"/>
      <c r="D32" s="8"/>
      <c r="E32" s="8"/>
      <c r="F32" s="7"/>
      <c r="G32" s="10"/>
      <c r="H32" s="13" t="s">
        <v>76</v>
      </c>
      <c r="I32" s="9"/>
      <c r="J32" s="13"/>
      <c r="K32" s="8"/>
      <c r="L32" s="8"/>
      <c r="M32" s="8"/>
      <c r="N32" s="8"/>
      <c r="O32" s="8"/>
      <c r="P32" s="8"/>
      <c r="Q32" s="7"/>
      <c r="R32" s="12"/>
      <c r="S32" s="8"/>
      <c r="T32" s="99"/>
      <c r="U32" s="15"/>
    </row>
    <row r="33" spans="1:21" x14ac:dyDescent="0.25">
      <c r="A33" s="15"/>
      <c r="B33" s="3">
        <v>21</v>
      </c>
      <c r="C33" s="3" t="s">
        <v>21</v>
      </c>
      <c r="D33" s="4" t="s">
        <v>22</v>
      </c>
      <c r="E33" s="4">
        <v>3</v>
      </c>
      <c r="F33" s="3" t="s">
        <v>77</v>
      </c>
      <c r="G33" s="6" t="s">
        <v>24</v>
      </c>
      <c r="H33" s="14" t="s">
        <v>141</v>
      </c>
      <c r="I33" s="100">
        <f>272764.5+19974</f>
        <v>292738.5</v>
      </c>
      <c r="J33" s="14" t="s">
        <v>142</v>
      </c>
      <c r="K33" s="4" t="s">
        <v>133</v>
      </c>
      <c r="L33" s="4" t="s">
        <v>40</v>
      </c>
      <c r="M33" s="4" t="s">
        <v>29</v>
      </c>
      <c r="N33" s="4" t="s">
        <v>30</v>
      </c>
      <c r="O33" s="4" t="s">
        <v>49</v>
      </c>
      <c r="P33" s="4" t="s">
        <v>143</v>
      </c>
      <c r="Q33" s="4" t="s">
        <v>144</v>
      </c>
      <c r="R33" s="11" t="s">
        <v>58</v>
      </c>
      <c r="S33" s="4" t="s">
        <v>69</v>
      </c>
      <c r="T33" s="86" t="s">
        <v>837</v>
      </c>
      <c r="U33" s="15"/>
    </row>
    <row r="34" spans="1:21" x14ac:dyDescent="0.25">
      <c r="A34" s="15"/>
      <c r="B34" s="7">
        <v>22</v>
      </c>
      <c r="C34" s="7" t="s">
        <v>21</v>
      </c>
      <c r="D34" s="8" t="s">
        <v>22</v>
      </c>
      <c r="E34" s="8">
        <v>3</v>
      </c>
      <c r="F34" s="7" t="s">
        <v>146</v>
      </c>
      <c r="G34" s="10" t="s">
        <v>24</v>
      </c>
      <c r="H34" s="13" t="s">
        <v>147</v>
      </c>
      <c r="I34" s="101">
        <f>2399757.23-5000-42504.165-12000-7664-5000</f>
        <v>2327589.0649999999</v>
      </c>
      <c r="J34" s="13" t="s">
        <v>148</v>
      </c>
      <c r="K34" s="8" t="s">
        <v>133</v>
      </c>
      <c r="L34" s="8" t="s">
        <v>40</v>
      </c>
      <c r="M34" s="8" t="s">
        <v>29</v>
      </c>
      <c r="N34" s="8" t="s">
        <v>30</v>
      </c>
      <c r="O34" s="8" t="s">
        <v>49</v>
      </c>
      <c r="P34" s="8" t="s">
        <v>149</v>
      </c>
      <c r="Q34" s="7" t="s">
        <v>150</v>
      </c>
      <c r="R34" s="12" t="s">
        <v>58</v>
      </c>
      <c r="S34" s="8" t="s">
        <v>69</v>
      </c>
      <c r="T34" s="7" t="s">
        <v>151</v>
      </c>
      <c r="U34" s="15"/>
    </row>
    <row r="35" spans="1:21" x14ac:dyDescent="0.25">
      <c r="A35" s="15"/>
      <c r="B35" s="3">
        <v>23</v>
      </c>
      <c r="C35" s="3" t="s">
        <v>21</v>
      </c>
      <c r="D35" s="4" t="s">
        <v>22</v>
      </c>
      <c r="E35" s="4">
        <v>3</v>
      </c>
      <c r="F35" s="3" t="s">
        <v>152</v>
      </c>
      <c r="G35" s="6" t="s">
        <v>24</v>
      </c>
      <c r="H35" s="14" t="s">
        <v>153</v>
      </c>
      <c r="I35" s="5">
        <v>13208</v>
      </c>
      <c r="J35" s="14" t="s">
        <v>154</v>
      </c>
      <c r="K35" s="4" t="s">
        <v>133</v>
      </c>
      <c r="L35" s="4" t="s">
        <v>40</v>
      </c>
      <c r="M35" s="4" t="s">
        <v>29</v>
      </c>
      <c r="N35" s="4" t="s">
        <v>29</v>
      </c>
      <c r="O35" s="4" t="s">
        <v>31</v>
      </c>
      <c r="P35" s="4" t="s">
        <v>155</v>
      </c>
      <c r="Q35" s="4" t="s">
        <v>156</v>
      </c>
      <c r="R35" s="11">
        <v>45552</v>
      </c>
      <c r="S35" s="4" t="s">
        <v>34</v>
      </c>
      <c r="T35" s="4" t="s">
        <v>157</v>
      </c>
      <c r="U35" s="15"/>
    </row>
    <row r="36" spans="1:21" x14ac:dyDescent="0.25">
      <c r="A36" s="15"/>
      <c r="B36" s="7"/>
      <c r="C36" s="7"/>
      <c r="D36" s="8"/>
      <c r="E36" s="8"/>
      <c r="F36" s="7"/>
      <c r="G36" s="10"/>
      <c r="H36" s="13" t="s">
        <v>76</v>
      </c>
      <c r="I36" s="9"/>
      <c r="J36" s="13"/>
      <c r="K36" s="8"/>
      <c r="L36" s="8"/>
      <c r="M36" s="8"/>
      <c r="N36" s="8"/>
      <c r="O36" s="8"/>
      <c r="P36" s="8"/>
      <c r="Q36" s="7"/>
      <c r="R36" s="12"/>
      <c r="S36" s="8"/>
      <c r="T36" s="7"/>
      <c r="U36" s="15"/>
    </row>
    <row r="37" spans="1:21" x14ac:dyDescent="0.25">
      <c r="A37" s="15"/>
      <c r="B37" s="99">
        <v>24</v>
      </c>
      <c r="C37" s="3" t="s">
        <v>21</v>
      </c>
      <c r="D37" s="4" t="s">
        <v>22</v>
      </c>
      <c r="E37" s="4">
        <v>3</v>
      </c>
      <c r="F37" s="3" t="s">
        <v>158</v>
      </c>
      <c r="G37" s="6" t="s">
        <v>24</v>
      </c>
      <c r="H37" s="14" t="s">
        <v>159</v>
      </c>
      <c r="I37" s="100">
        <f>2230.48+2298.89*4/12</f>
        <v>2996.7766666666666</v>
      </c>
      <c r="J37" s="14" t="s">
        <v>160</v>
      </c>
      <c r="K37" s="4" t="s">
        <v>133</v>
      </c>
      <c r="L37" s="4" t="s">
        <v>40</v>
      </c>
      <c r="M37" s="4" t="s">
        <v>29</v>
      </c>
      <c r="N37" s="4" t="s">
        <v>29</v>
      </c>
      <c r="O37" s="4" t="s">
        <v>162</v>
      </c>
      <c r="P37" s="4" t="s">
        <v>163</v>
      </c>
      <c r="Q37" s="4"/>
      <c r="R37" s="11">
        <v>45410</v>
      </c>
      <c r="S37" s="4" t="s">
        <v>34</v>
      </c>
      <c r="T37" s="4" t="s">
        <v>161</v>
      </c>
      <c r="U37" s="15"/>
    </row>
    <row r="38" spans="1:21" x14ac:dyDescent="0.25">
      <c r="A38" s="15"/>
      <c r="B38" s="7">
        <v>25</v>
      </c>
      <c r="C38" s="7" t="s">
        <v>21</v>
      </c>
      <c r="D38" s="8" t="s">
        <v>22</v>
      </c>
      <c r="E38" s="8">
        <v>3</v>
      </c>
      <c r="F38" s="7" t="s">
        <v>77</v>
      </c>
      <c r="G38" s="10" t="s">
        <v>24</v>
      </c>
      <c r="H38" s="13" t="s">
        <v>164</v>
      </c>
      <c r="I38" s="101">
        <f>3820000-211316</f>
        <v>3608684</v>
      </c>
      <c r="J38" s="13" t="s">
        <v>165</v>
      </c>
      <c r="K38" s="8" t="s">
        <v>133</v>
      </c>
      <c r="L38" s="8" t="s">
        <v>40</v>
      </c>
      <c r="M38" s="8" t="s">
        <v>29</v>
      </c>
      <c r="N38" s="8" t="s">
        <v>30</v>
      </c>
      <c r="O38" s="8" t="s">
        <v>31</v>
      </c>
      <c r="P38" s="8" t="s">
        <v>166</v>
      </c>
      <c r="Q38" s="7" t="s">
        <v>167</v>
      </c>
      <c r="R38" s="12">
        <v>45437</v>
      </c>
      <c r="S38" s="8" t="s">
        <v>69</v>
      </c>
      <c r="T38" s="7" t="s">
        <v>145</v>
      </c>
      <c r="U38" s="15"/>
    </row>
    <row r="39" spans="1:21" x14ac:dyDescent="0.25">
      <c r="A39" s="15"/>
      <c r="B39" s="3">
        <v>26</v>
      </c>
      <c r="C39" s="3" t="s">
        <v>21</v>
      </c>
      <c r="D39" s="4" t="s">
        <v>22</v>
      </c>
      <c r="E39" s="4">
        <v>3</v>
      </c>
      <c r="F39" s="3" t="s">
        <v>168</v>
      </c>
      <c r="G39" s="6" t="s">
        <v>24</v>
      </c>
      <c r="H39" s="14" t="s">
        <v>169</v>
      </c>
      <c r="I39" s="101">
        <f>2019095.9-17090</f>
        <v>2002005.9</v>
      </c>
      <c r="J39" s="14" t="s">
        <v>170</v>
      </c>
      <c r="K39" s="4" t="s">
        <v>133</v>
      </c>
      <c r="L39" s="4" t="s">
        <v>40</v>
      </c>
      <c r="M39" s="4" t="s">
        <v>29</v>
      </c>
      <c r="N39" s="4" t="s">
        <v>30</v>
      </c>
      <c r="O39" s="4" t="s">
        <v>31</v>
      </c>
      <c r="P39" s="4" t="s">
        <v>171</v>
      </c>
      <c r="Q39" s="4" t="s">
        <v>172</v>
      </c>
      <c r="R39" s="11">
        <v>45506</v>
      </c>
      <c r="S39" s="4" t="s">
        <v>69</v>
      </c>
      <c r="T39" s="86" t="s">
        <v>838</v>
      </c>
      <c r="U39" s="15"/>
    </row>
    <row r="40" spans="1:21" x14ac:dyDescent="0.25">
      <c r="A40" s="15"/>
      <c r="B40" s="7">
        <v>27</v>
      </c>
      <c r="C40" s="7" t="s">
        <v>21</v>
      </c>
      <c r="D40" s="8" t="s">
        <v>22</v>
      </c>
      <c r="E40" s="8">
        <v>3</v>
      </c>
      <c r="F40" s="7" t="s">
        <v>173</v>
      </c>
      <c r="G40" s="10" t="s">
        <v>24</v>
      </c>
      <c r="H40" s="13" t="s">
        <v>174</v>
      </c>
      <c r="I40" s="9">
        <v>108421.68</v>
      </c>
      <c r="J40" s="13" t="s">
        <v>175</v>
      </c>
      <c r="K40" s="8" t="s">
        <v>133</v>
      </c>
      <c r="L40" s="8" t="s">
        <v>40</v>
      </c>
      <c r="M40" s="8" t="s">
        <v>29</v>
      </c>
      <c r="N40" s="8" t="s">
        <v>30</v>
      </c>
      <c r="O40" s="8" t="s">
        <v>49</v>
      </c>
      <c r="P40" s="8" t="s">
        <v>176</v>
      </c>
      <c r="Q40" s="7" t="s">
        <v>177</v>
      </c>
      <c r="R40" s="12" t="s">
        <v>58</v>
      </c>
      <c r="S40" s="8" t="s">
        <v>69</v>
      </c>
      <c r="T40" s="107" t="s">
        <v>841</v>
      </c>
      <c r="U40" s="15"/>
    </row>
    <row r="41" spans="1:21" x14ac:dyDescent="0.25">
      <c r="A41" s="15"/>
      <c r="B41" s="3">
        <v>28</v>
      </c>
      <c r="C41" s="3" t="s">
        <v>21</v>
      </c>
      <c r="D41" s="4" t="s">
        <v>22</v>
      </c>
      <c r="E41" s="4">
        <v>3</v>
      </c>
      <c r="F41" s="3" t="s">
        <v>173</v>
      </c>
      <c r="G41" s="6" t="s">
        <v>24</v>
      </c>
      <c r="H41" s="14" t="s">
        <v>179</v>
      </c>
      <c r="I41" s="5">
        <v>34783.9</v>
      </c>
      <c r="J41" s="14" t="s">
        <v>180</v>
      </c>
      <c r="K41" s="4" t="s">
        <v>133</v>
      </c>
      <c r="L41" s="4" t="s">
        <v>40</v>
      </c>
      <c r="M41" s="4" t="s">
        <v>29</v>
      </c>
      <c r="N41" s="4" t="s">
        <v>30</v>
      </c>
      <c r="O41" s="4" t="s">
        <v>49</v>
      </c>
      <c r="P41" s="4" t="s">
        <v>181</v>
      </c>
      <c r="Q41" s="4" t="s">
        <v>182</v>
      </c>
      <c r="R41" s="11" t="s">
        <v>58</v>
      </c>
      <c r="S41" s="4" t="s">
        <v>69</v>
      </c>
      <c r="T41" s="107" t="s">
        <v>841</v>
      </c>
      <c r="U41" s="15"/>
    </row>
    <row r="42" spans="1:21" x14ac:dyDescent="0.25">
      <c r="A42" s="15"/>
      <c r="B42" s="7">
        <v>29</v>
      </c>
      <c r="C42" s="7" t="s">
        <v>21</v>
      </c>
      <c r="D42" s="8" t="s">
        <v>22</v>
      </c>
      <c r="E42" s="8">
        <v>3</v>
      </c>
      <c r="F42" s="7" t="s">
        <v>77</v>
      </c>
      <c r="G42" s="10" t="s">
        <v>24</v>
      </c>
      <c r="H42" s="13" t="s">
        <v>184</v>
      </c>
      <c r="I42" s="100">
        <f>10394166.79+3568.784+1736434</f>
        <v>12134169.573999999</v>
      </c>
      <c r="J42" s="13" t="s">
        <v>185</v>
      </c>
      <c r="K42" s="8" t="s">
        <v>133</v>
      </c>
      <c r="L42" s="8" t="s">
        <v>40</v>
      </c>
      <c r="M42" s="8" t="s">
        <v>29</v>
      </c>
      <c r="N42" s="8" t="s">
        <v>30</v>
      </c>
      <c r="O42" s="8" t="s">
        <v>49</v>
      </c>
      <c r="P42" s="8" t="s">
        <v>186</v>
      </c>
      <c r="Q42" s="7" t="s">
        <v>187</v>
      </c>
      <c r="R42" s="12" t="s">
        <v>58</v>
      </c>
      <c r="S42" s="8" t="s">
        <v>43</v>
      </c>
      <c r="T42" s="113" t="s">
        <v>145</v>
      </c>
      <c r="U42" s="15"/>
    </row>
    <row r="43" spans="1:21" x14ac:dyDescent="0.25">
      <c r="A43" s="15"/>
      <c r="B43" s="3">
        <v>30</v>
      </c>
      <c r="C43" s="3" t="s">
        <v>21</v>
      </c>
      <c r="D43" s="4" t="s">
        <v>22</v>
      </c>
      <c r="E43" s="4">
        <v>3</v>
      </c>
      <c r="F43" s="3" t="s">
        <v>77</v>
      </c>
      <c r="G43" s="6" t="s">
        <v>24</v>
      </c>
      <c r="H43" s="14" t="s">
        <v>188</v>
      </c>
      <c r="I43" s="5">
        <v>691685.81</v>
      </c>
      <c r="J43" s="14" t="s">
        <v>189</v>
      </c>
      <c r="K43" s="4" t="s">
        <v>190</v>
      </c>
      <c r="L43" s="4" t="s">
        <v>40</v>
      </c>
      <c r="M43" s="4" t="s">
        <v>29</v>
      </c>
      <c r="N43" s="4" t="s">
        <v>30</v>
      </c>
      <c r="O43" s="4" t="s">
        <v>31</v>
      </c>
      <c r="P43" s="4" t="s">
        <v>191</v>
      </c>
      <c r="Q43" s="4" t="s">
        <v>192</v>
      </c>
      <c r="R43" s="11">
        <v>45438</v>
      </c>
      <c r="S43" s="4" t="s">
        <v>34</v>
      </c>
      <c r="T43" s="4" t="s">
        <v>145</v>
      </c>
      <c r="U43" s="15"/>
    </row>
    <row r="44" spans="1:21" x14ac:dyDescent="0.25">
      <c r="A44" s="15"/>
      <c r="B44" s="7">
        <v>31</v>
      </c>
      <c r="C44" s="7" t="s">
        <v>21</v>
      </c>
      <c r="D44" s="8" t="s">
        <v>22</v>
      </c>
      <c r="E44" s="8">
        <v>3</v>
      </c>
      <c r="F44" s="7" t="s">
        <v>193</v>
      </c>
      <c r="G44" s="10" t="s">
        <v>24</v>
      </c>
      <c r="H44" s="13" t="s">
        <v>194</v>
      </c>
      <c r="I44" s="9">
        <v>52456.68</v>
      </c>
      <c r="J44" s="13" t="s">
        <v>195</v>
      </c>
      <c r="K44" s="8" t="s">
        <v>190</v>
      </c>
      <c r="L44" s="8" t="s">
        <v>40</v>
      </c>
      <c r="M44" s="8" t="s">
        <v>29</v>
      </c>
      <c r="N44" s="8" t="s">
        <v>30</v>
      </c>
      <c r="O44" s="8" t="s">
        <v>31</v>
      </c>
      <c r="P44" s="8" t="s">
        <v>196</v>
      </c>
      <c r="Q44" s="7" t="s">
        <v>197</v>
      </c>
      <c r="R44" s="12">
        <v>45565</v>
      </c>
      <c r="S44" s="8" t="s">
        <v>34</v>
      </c>
      <c r="T44" s="7" t="s">
        <v>198</v>
      </c>
      <c r="U44" s="15"/>
    </row>
    <row r="45" spans="1:21" x14ac:dyDescent="0.25">
      <c r="A45" s="15"/>
      <c r="B45" s="99">
        <v>32</v>
      </c>
      <c r="C45" s="3" t="s">
        <v>21</v>
      </c>
      <c r="D45" s="4" t="s">
        <v>22</v>
      </c>
      <c r="E45" s="4">
        <v>3</v>
      </c>
      <c r="F45" s="3" t="s">
        <v>199</v>
      </c>
      <c r="G45" s="6" t="s">
        <v>24</v>
      </c>
      <c r="H45" s="14" t="s">
        <v>200</v>
      </c>
      <c r="I45" s="101">
        <f>13100000-459364-19974-893-150396-54326-60004</f>
        <v>12355043</v>
      </c>
      <c r="J45" s="14" t="s">
        <v>201</v>
      </c>
      <c r="K45" s="4" t="s">
        <v>190</v>
      </c>
      <c r="L45" s="4" t="s">
        <v>40</v>
      </c>
      <c r="M45" s="4" t="s">
        <v>29</v>
      </c>
      <c r="N45" s="4" t="s">
        <v>30</v>
      </c>
      <c r="O45" s="86" t="s">
        <v>31</v>
      </c>
      <c r="P45" s="4" t="s">
        <v>202</v>
      </c>
      <c r="Q45" s="4" t="s">
        <v>203</v>
      </c>
      <c r="R45" s="11">
        <v>45321</v>
      </c>
      <c r="S45" s="4" t="s">
        <v>34</v>
      </c>
      <c r="T45" s="4" t="s">
        <v>204</v>
      </c>
      <c r="U45" s="15"/>
    </row>
    <row r="46" spans="1:21" x14ac:dyDescent="0.25">
      <c r="A46" s="15"/>
      <c r="B46" s="3">
        <v>33</v>
      </c>
      <c r="C46" s="3" t="s">
        <v>21</v>
      </c>
      <c r="D46" s="4" t="s">
        <v>22</v>
      </c>
      <c r="E46" s="4">
        <v>3</v>
      </c>
      <c r="F46" s="3" t="s">
        <v>97</v>
      </c>
      <c r="G46" s="6" t="s">
        <v>24</v>
      </c>
      <c r="H46" s="14" t="s">
        <v>205</v>
      </c>
      <c r="I46" s="5">
        <v>12950.53</v>
      </c>
      <c r="J46" s="14" t="s">
        <v>206</v>
      </c>
      <c r="K46" s="4" t="s">
        <v>190</v>
      </c>
      <c r="L46" s="4" t="s">
        <v>40</v>
      </c>
      <c r="M46" s="4" t="s">
        <v>29</v>
      </c>
      <c r="N46" s="4" t="s">
        <v>30</v>
      </c>
      <c r="O46" s="4" t="s">
        <v>95</v>
      </c>
      <c r="P46" s="4" t="s">
        <v>113</v>
      </c>
      <c r="Q46" s="4"/>
      <c r="R46" s="11">
        <v>45534</v>
      </c>
      <c r="S46" s="4" t="s">
        <v>43</v>
      </c>
      <c r="T46" s="4" t="s">
        <v>207</v>
      </c>
      <c r="U46" s="15"/>
    </row>
    <row r="47" spans="1:21" x14ac:dyDescent="0.25">
      <c r="A47" s="15"/>
      <c r="B47" s="7">
        <v>34</v>
      </c>
      <c r="C47" s="7" t="s">
        <v>21</v>
      </c>
      <c r="D47" s="8" t="s">
        <v>22</v>
      </c>
      <c r="E47" s="8">
        <v>4</v>
      </c>
      <c r="F47" s="7" t="s">
        <v>129</v>
      </c>
      <c r="G47" s="10" t="s">
        <v>24</v>
      </c>
      <c r="H47" s="13" t="s">
        <v>208</v>
      </c>
      <c r="I47" s="101">
        <f>170000-3568.7840000001-30000</f>
        <v>136431.2159999999</v>
      </c>
      <c r="J47" s="13" t="s">
        <v>209</v>
      </c>
      <c r="K47" s="8" t="s">
        <v>190</v>
      </c>
      <c r="L47" s="8" t="s">
        <v>40</v>
      </c>
      <c r="M47" s="8" t="s">
        <v>29</v>
      </c>
      <c r="N47" s="8" t="s">
        <v>29</v>
      </c>
      <c r="O47" s="8" t="s">
        <v>95</v>
      </c>
      <c r="P47" s="8" t="s">
        <v>210</v>
      </c>
      <c r="Q47" s="7"/>
      <c r="R47" s="12">
        <v>45350</v>
      </c>
      <c r="S47" s="8" t="s">
        <v>43</v>
      </c>
      <c r="T47" s="7" t="s">
        <v>211</v>
      </c>
      <c r="U47" s="15"/>
    </row>
    <row r="48" spans="1:21" x14ac:dyDescent="0.25">
      <c r="A48" s="15"/>
      <c r="B48" s="3">
        <v>35</v>
      </c>
      <c r="C48" s="3" t="s">
        <v>21</v>
      </c>
      <c r="D48" s="4" t="s">
        <v>22</v>
      </c>
      <c r="E48" s="4">
        <v>4</v>
      </c>
      <c r="F48" s="3" t="s">
        <v>212</v>
      </c>
      <c r="G48" s="6" t="s">
        <v>24</v>
      </c>
      <c r="H48" s="14" t="s">
        <v>213</v>
      </c>
      <c r="I48" s="5">
        <v>6000</v>
      </c>
      <c r="J48" s="14" t="s">
        <v>214</v>
      </c>
      <c r="K48" s="4" t="s">
        <v>190</v>
      </c>
      <c r="L48" s="4" t="s">
        <v>40</v>
      </c>
      <c r="M48" s="4" t="s">
        <v>29</v>
      </c>
      <c r="N48" s="4" t="s">
        <v>29</v>
      </c>
      <c r="O48" s="4" t="s">
        <v>162</v>
      </c>
      <c r="P48" s="4" t="s">
        <v>113</v>
      </c>
      <c r="Q48" s="4"/>
      <c r="R48" s="11">
        <v>45442</v>
      </c>
      <c r="S48" s="4" t="s">
        <v>69</v>
      </c>
      <c r="T48" s="86" t="s">
        <v>215</v>
      </c>
      <c r="U48" s="15"/>
    </row>
    <row r="49" spans="1:21" x14ac:dyDescent="0.25">
      <c r="A49" s="15"/>
      <c r="B49" s="7">
        <v>36</v>
      </c>
      <c r="C49" s="7" t="s">
        <v>21</v>
      </c>
      <c r="D49" s="8" t="s">
        <v>22</v>
      </c>
      <c r="E49" s="8">
        <v>3</v>
      </c>
      <c r="F49" s="7" t="s">
        <v>216</v>
      </c>
      <c r="G49" s="10" t="s">
        <v>24</v>
      </c>
      <c r="H49" s="13" t="s">
        <v>217</v>
      </c>
      <c r="I49" s="9">
        <v>40000</v>
      </c>
      <c r="J49" s="13" t="s">
        <v>218</v>
      </c>
      <c r="K49" s="8" t="s">
        <v>190</v>
      </c>
      <c r="L49" s="8" t="s">
        <v>40</v>
      </c>
      <c r="M49" s="8" t="s">
        <v>29</v>
      </c>
      <c r="N49" s="8" t="s">
        <v>29</v>
      </c>
      <c r="O49" s="8" t="s">
        <v>95</v>
      </c>
      <c r="P49" s="8" t="s">
        <v>113</v>
      </c>
      <c r="Q49" s="7"/>
      <c r="R49" s="12">
        <v>45350</v>
      </c>
      <c r="S49" s="8" t="s">
        <v>69</v>
      </c>
      <c r="T49" s="7" t="s">
        <v>219</v>
      </c>
      <c r="U49" s="15"/>
    </row>
    <row r="50" spans="1:21" x14ac:dyDescent="0.25">
      <c r="A50" s="15"/>
      <c r="B50" s="3">
        <v>37</v>
      </c>
      <c r="C50" s="3" t="s">
        <v>21</v>
      </c>
      <c r="D50" s="4" t="s">
        <v>22</v>
      </c>
      <c r="E50" s="4">
        <v>4</v>
      </c>
      <c r="F50" s="3" t="s">
        <v>220</v>
      </c>
      <c r="G50" s="6" t="s">
        <v>24</v>
      </c>
      <c r="H50" s="14" t="s">
        <v>221</v>
      </c>
      <c r="I50" s="5">
        <v>30000</v>
      </c>
      <c r="J50" s="14" t="s">
        <v>222</v>
      </c>
      <c r="K50" s="4" t="s">
        <v>190</v>
      </c>
      <c r="L50" s="4" t="s">
        <v>40</v>
      </c>
      <c r="M50" s="4" t="s">
        <v>29</v>
      </c>
      <c r="N50" s="4" t="s">
        <v>29</v>
      </c>
      <c r="O50" s="4" t="s">
        <v>162</v>
      </c>
      <c r="P50" s="86" t="s">
        <v>849</v>
      </c>
      <c r="Q50" s="4"/>
      <c r="R50" s="11">
        <v>45350</v>
      </c>
      <c r="S50" s="4" t="s">
        <v>69</v>
      </c>
      <c r="T50" s="4" t="s">
        <v>223</v>
      </c>
      <c r="U50" s="15"/>
    </row>
    <row r="51" spans="1:21" x14ac:dyDescent="0.25">
      <c r="A51" s="15"/>
      <c r="B51" s="7">
        <v>38</v>
      </c>
      <c r="C51" s="7" t="s">
        <v>21</v>
      </c>
      <c r="D51" s="8" t="s">
        <v>22</v>
      </c>
      <c r="E51" s="8">
        <v>3</v>
      </c>
      <c r="F51" s="7" t="s">
        <v>224</v>
      </c>
      <c r="G51" s="10" t="s">
        <v>24</v>
      </c>
      <c r="H51" s="13" t="s">
        <v>225</v>
      </c>
      <c r="I51" s="9">
        <v>40000</v>
      </c>
      <c r="J51" s="13" t="s">
        <v>226</v>
      </c>
      <c r="K51" s="8" t="s">
        <v>190</v>
      </c>
      <c r="L51" s="8" t="s">
        <v>40</v>
      </c>
      <c r="M51" s="8" t="s">
        <v>29</v>
      </c>
      <c r="N51" s="8" t="s">
        <v>29</v>
      </c>
      <c r="O51" s="8" t="s">
        <v>162</v>
      </c>
      <c r="P51" s="8" t="s">
        <v>113</v>
      </c>
      <c r="Q51" s="7"/>
      <c r="R51" s="12">
        <v>45350</v>
      </c>
      <c r="S51" s="8" t="s">
        <v>69</v>
      </c>
      <c r="T51" s="7" t="s">
        <v>227</v>
      </c>
      <c r="U51" s="15"/>
    </row>
    <row r="52" spans="1:21" x14ac:dyDescent="0.25">
      <c r="A52" s="15"/>
      <c r="B52" s="3">
        <v>39</v>
      </c>
      <c r="C52" s="3" t="s">
        <v>21</v>
      </c>
      <c r="D52" s="4" t="s">
        <v>22</v>
      </c>
      <c r="E52" s="4">
        <v>3</v>
      </c>
      <c r="F52" s="3" t="s">
        <v>228</v>
      </c>
      <c r="G52" s="6" t="s">
        <v>24</v>
      </c>
      <c r="H52" s="14" t="s">
        <v>229</v>
      </c>
      <c r="I52" s="5">
        <v>34000</v>
      </c>
      <c r="J52" s="14" t="s">
        <v>230</v>
      </c>
      <c r="K52" s="4" t="s">
        <v>231</v>
      </c>
      <c r="L52" s="4" t="s">
        <v>40</v>
      </c>
      <c r="M52" s="4" t="s">
        <v>29</v>
      </c>
      <c r="N52" s="4" t="s">
        <v>29</v>
      </c>
      <c r="O52" s="4" t="s">
        <v>232</v>
      </c>
      <c r="P52" s="4" t="s">
        <v>58</v>
      </c>
      <c r="Q52" s="4" t="s">
        <v>58</v>
      </c>
      <c r="R52" s="11" t="s">
        <v>58</v>
      </c>
      <c r="S52" s="4" t="s">
        <v>34</v>
      </c>
      <c r="T52" s="4"/>
      <c r="U52" s="15"/>
    </row>
    <row r="53" spans="1:21" x14ac:dyDescent="0.25">
      <c r="A53" s="15"/>
      <c r="B53" s="7">
        <v>40</v>
      </c>
      <c r="C53" s="7" t="s">
        <v>21</v>
      </c>
      <c r="D53" s="8" t="s">
        <v>22</v>
      </c>
      <c r="E53" s="8">
        <v>3</v>
      </c>
      <c r="F53" s="7" t="s">
        <v>233</v>
      </c>
      <c r="G53" s="10" t="s">
        <v>24</v>
      </c>
      <c r="H53" s="13" t="s">
        <v>234</v>
      </c>
      <c r="I53" s="9">
        <v>9635</v>
      </c>
      <c r="J53" s="13" t="s">
        <v>235</v>
      </c>
      <c r="K53" s="8" t="s">
        <v>231</v>
      </c>
      <c r="L53" s="8" t="s">
        <v>40</v>
      </c>
      <c r="M53" s="8" t="s">
        <v>29</v>
      </c>
      <c r="N53" s="8" t="s">
        <v>29</v>
      </c>
      <c r="O53" s="8" t="s">
        <v>31</v>
      </c>
      <c r="P53" s="8" t="s">
        <v>236</v>
      </c>
      <c r="Q53" s="7" t="s">
        <v>237</v>
      </c>
      <c r="R53" s="12">
        <v>45505</v>
      </c>
      <c r="S53" s="8" t="s">
        <v>69</v>
      </c>
      <c r="T53" s="7" t="s">
        <v>238</v>
      </c>
      <c r="U53" s="15"/>
    </row>
    <row r="54" spans="1:21" x14ac:dyDescent="0.25">
      <c r="A54" s="15"/>
      <c r="B54" s="3">
        <v>41</v>
      </c>
      <c r="C54" s="3" t="s">
        <v>21</v>
      </c>
      <c r="D54" s="4" t="s">
        <v>22</v>
      </c>
      <c r="E54" s="4">
        <v>3</v>
      </c>
      <c r="F54" s="3" t="s">
        <v>104</v>
      </c>
      <c r="G54" s="6" t="s">
        <v>24</v>
      </c>
      <c r="H54" s="14" t="s">
        <v>239</v>
      </c>
      <c r="I54" s="5">
        <v>60000</v>
      </c>
      <c r="J54" s="14" t="s">
        <v>240</v>
      </c>
      <c r="K54" s="4" t="s">
        <v>241</v>
      </c>
      <c r="L54" s="4" t="s">
        <v>40</v>
      </c>
      <c r="M54" s="4" t="s">
        <v>30</v>
      </c>
      <c r="N54" s="4" t="s">
        <v>30</v>
      </c>
      <c r="O54" s="4" t="s">
        <v>95</v>
      </c>
      <c r="P54" s="4" t="s">
        <v>113</v>
      </c>
      <c r="Q54" s="4"/>
      <c r="R54" s="11">
        <v>45355</v>
      </c>
      <c r="S54" s="4" t="s">
        <v>69</v>
      </c>
      <c r="T54" s="4" t="s">
        <v>242</v>
      </c>
      <c r="U54" s="15"/>
    </row>
    <row r="55" spans="1:21" x14ac:dyDescent="0.25">
      <c r="A55" s="15"/>
      <c r="B55" s="7">
        <v>42</v>
      </c>
      <c r="C55" s="7" t="s">
        <v>21</v>
      </c>
      <c r="D55" s="8" t="s">
        <v>22</v>
      </c>
      <c r="E55" s="8">
        <v>3</v>
      </c>
      <c r="F55" s="7" t="s">
        <v>65</v>
      </c>
      <c r="G55" s="10" t="s">
        <v>24</v>
      </c>
      <c r="H55" s="13" t="s">
        <v>243</v>
      </c>
      <c r="I55" s="9">
        <v>36829.93</v>
      </c>
      <c r="J55" s="13" t="s">
        <v>240</v>
      </c>
      <c r="K55" s="8" t="s">
        <v>241</v>
      </c>
      <c r="L55" s="8" t="s">
        <v>40</v>
      </c>
      <c r="M55" s="8" t="s">
        <v>29</v>
      </c>
      <c r="N55" s="8" t="s">
        <v>30</v>
      </c>
      <c r="O55" s="8" t="s">
        <v>162</v>
      </c>
      <c r="P55" s="8" t="s">
        <v>113</v>
      </c>
      <c r="Q55" s="7"/>
      <c r="R55" s="12">
        <v>45323</v>
      </c>
      <c r="S55" s="8" t="s">
        <v>34</v>
      </c>
      <c r="T55" s="7" t="s">
        <v>244</v>
      </c>
      <c r="U55" s="15"/>
    </row>
    <row r="56" spans="1:21" x14ac:dyDescent="0.25">
      <c r="A56" s="15"/>
      <c r="B56" s="3">
        <v>43</v>
      </c>
      <c r="C56" s="3" t="s">
        <v>21</v>
      </c>
      <c r="D56" s="4" t="s">
        <v>22</v>
      </c>
      <c r="E56" s="4">
        <v>3</v>
      </c>
      <c r="F56" s="3" t="s">
        <v>71</v>
      </c>
      <c r="G56" s="6" t="s">
        <v>24</v>
      </c>
      <c r="H56" s="14" t="s">
        <v>245</v>
      </c>
      <c r="I56" s="5">
        <v>38748.269999999997</v>
      </c>
      <c r="J56" s="14" t="s">
        <v>240</v>
      </c>
      <c r="K56" s="4" t="s">
        <v>241</v>
      </c>
      <c r="L56" s="4" t="s">
        <v>40</v>
      </c>
      <c r="M56" s="4" t="s">
        <v>29</v>
      </c>
      <c r="N56" s="4" t="s">
        <v>30</v>
      </c>
      <c r="O56" s="4" t="s">
        <v>162</v>
      </c>
      <c r="P56" s="4" t="s">
        <v>246</v>
      </c>
      <c r="Q56" s="4"/>
      <c r="R56" s="11">
        <v>45379</v>
      </c>
      <c r="S56" s="4" t="s">
        <v>34</v>
      </c>
      <c r="T56" s="4" t="s">
        <v>247</v>
      </c>
      <c r="U56" s="15"/>
    </row>
    <row r="57" spans="1:21" x14ac:dyDescent="0.25">
      <c r="A57" s="15"/>
      <c r="B57" s="7">
        <v>44</v>
      </c>
      <c r="C57" s="7" t="s">
        <v>21</v>
      </c>
      <c r="D57" s="8" t="s">
        <v>22</v>
      </c>
      <c r="E57" s="8">
        <v>3</v>
      </c>
      <c r="F57" s="7" t="s">
        <v>65</v>
      </c>
      <c r="G57" s="10" t="s">
        <v>24</v>
      </c>
      <c r="H57" s="13" t="s">
        <v>248</v>
      </c>
      <c r="I57" s="9">
        <v>42235.61</v>
      </c>
      <c r="J57" s="13" t="s">
        <v>240</v>
      </c>
      <c r="K57" s="8" t="s">
        <v>241</v>
      </c>
      <c r="L57" s="8" t="s">
        <v>40</v>
      </c>
      <c r="M57" s="8" t="s">
        <v>29</v>
      </c>
      <c r="N57" s="8" t="s">
        <v>30</v>
      </c>
      <c r="O57" s="8" t="s">
        <v>162</v>
      </c>
      <c r="P57" s="8" t="s">
        <v>113</v>
      </c>
      <c r="Q57" s="7"/>
      <c r="R57" s="12">
        <v>45292</v>
      </c>
      <c r="S57" s="8" t="s">
        <v>34</v>
      </c>
      <c r="T57" s="7" t="s">
        <v>249</v>
      </c>
      <c r="U57" s="15"/>
    </row>
    <row r="58" spans="1:21" x14ac:dyDescent="0.25">
      <c r="A58" s="15"/>
      <c r="B58" s="3">
        <v>45</v>
      </c>
      <c r="C58" s="3" t="s">
        <v>21</v>
      </c>
      <c r="D58" s="4" t="s">
        <v>22</v>
      </c>
      <c r="E58" s="4">
        <v>4</v>
      </c>
      <c r="F58" s="3" t="s">
        <v>250</v>
      </c>
      <c r="G58" s="6" t="s">
        <v>24</v>
      </c>
      <c r="H58" s="14" t="s">
        <v>251</v>
      </c>
      <c r="I58" s="5">
        <v>126284.6</v>
      </c>
      <c r="J58" s="14" t="s">
        <v>252</v>
      </c>
      <c r="K58" s="4" t="s">
        <v>241</v>
      </c>
      <c r="L58" s="4" t="s">
        <v>40</v>
      </c>
      <c r="M58" s="4" t="s">
        <v>30</v>
      </c>
      <c r="N58" s="4" t="s">
        <v>29</v>
      </c>
      <c r="O58" s="4" t="s">
        <v>95</v>
      </c>
      <c r="P58" s="4" t="s">
        <v>113</v>
      </c>
      <c r="Q58" s="4"/>
      <c r="R58" s="11">
        <v>45444</v>
      </c>
      <c r="S58" s="4" t="s">
        <v>34</v>
      </c>
      <c r="T58" s="4"/>
      <c r="U58" s="15"/>
    </row>
    <row r="59" spans="1:21" x14ac:dyDescent="0.25">
      <c r="A59" s="15"/>
      <c r="B59" s="7">
        <v>46</v>
      </c>
      <c r="C59" s="7" t="s">
        <v>21</v>
      </c>
      <c r="D59" s="8" t="s">
        <v>22</v>
      </c>
      <c r="E59" s="8">
        <v>3</v>
      </c>
      <c r="F59" s="7" t="s">
        <v>253</v>
      </c>
      <c r="G59" s="10" t="s">
        <v>24</v>
      </c>
      <c r="H59" s="13" t="s">
        <v>254</v>
      </c>
      <c r="I59" s="101">
        <f>418595.12-2515</f>
        <v>416080.12</v>
      </c>
      <c r="J59" s="13" t="s">
        <v>255</v>
      </c>
      <c r="K59" s="8" t="s">
        <v>241</v>
      </c>
      <c r="L59" s="8" t="s">
        <v>40</v>
      </c>
      <c r="M59" s="8" t="s">
        <v>29</v>
      </c>
      <c r="N59" s="8" t="s">
        <v>30</v>
      </c>
      <c r="O59" s="8" t="s">
        <v>58</v>
      </c>
      <c r="P59" s="8" t="s">
        <v>113</v>
      </c>
      <c r="Q59" s="7"/>
      <c r="R59" s="12">
        <v>45444</v>
      </c>
      <c r="S59" s="8" t="s">
        <v>69</v>
      </c>
      <c r="T59" s="7" t="s">
        <v>256</v>
      </c>
      <c r="U59" s="15"/>
    </row>
    <row r="60" spans="1:21" x14ac:dyDescent="0.25">
      <c r="A60" s="15"/>
      <c r="B60" s="3">
        <v>47</v>
      </c>
      <c r="C60" s="3" t="s">
        <v>21</v>
      </c>
      <c r="D60" s="4" t="s">
        <v>22</v>
      </c>
      <c r="E60" s="4">
        <v>3</v>
      </c>
      <c r="F60" s="3" t="s">
        <v>257</v>
      </c>
      <c r="G60" s="6" t="s">
        <v>24</v>
      </c>
      <c r="H60" s="14" t="s">
        <v>258</v>
      </c>
      <c r="I60" s="5">
        <v>1617010.1461999954</v>
      </c>
      <c r="J60" s="14" t="s">
        <v>240</v>
      </c>
      <c r="K60" s="4" t="s">
        <v>241</v>
      </c>
      <c r="L60" s="4" t="s">
        <v>40</v>
      </c>
      <c r="M60" s="4" t="s">
        <v>29</v>
      </c>
      <c r="N60" s="4" t="s">
        <v>30</v>
      </c>
      <c r="O60" s="4" t="s">
        <v>31</v>
      </c>
      <c r="P60" s="4" t="s">
        <v>259</v>
      </c>
      <c r="Q60" s="4" t="s">
        <v>260</v>
      </c>
      <c r="R60" s="11">
        <v>45501</v>
      </c>
      <c r="S60" s="4" t="s">
        <v>43</v>
      </c>
      <c r="T60" s="4" t="s">
        <v>261</v>
      </c>
      <c r="U60" s="15"/>
    </row>
    <row r="61" spans="1:21" x14ac:dyDescent="0.25">
      <c r="A61" s="15"/>
      <c r="B61" s="7">
        <v>48.1</v>
      </c>
      <c r="C61" s="7" t="s">
        <v>21</v>
      </c>
      <c r="D61" s="8" t="s">
        <v>22</v>
      </c>
      <c r="E61" s="8">
        <v>3</v>
      </c>
      <c r="F61" s="7" t="s">
        <v>262</v>
      </c>
      <c r="G61" s="10" t="s">
        <v>24</v>
      </c>
      <c r="H61" s="13" t="s">
        <v>263</v>
      </c>
      <c r="I61" s="9">
        <f>6100791.4902*3/12</f>
        <v>1525197.8725500002</v>
      </c>
      <c r="J61" s="13" t="s">
        <v>240</v>
      </c>
      <c r="K61" s="8" t="s">
        <v>241</v>
      </c>
      <c r="L61" s="8" t="s">
        <v>40</v>
      </c>
      <c r="M61" s="8" t="s">
        <v>29</v>
      </c>
      <c r="N61" s="8" t="s">
        <v>30</v>
      </c>
      <c r="O61" s="8" t="s">
        <v>49</v>
      </c>
      <c r="P61" s="8" t="s">
        <v>264</v>
      </c>
      <c r="Q61" s="7" t="s">
        <v>265</v>
      </c>
      <c r="R61" s="12" t="s">
        <v>58</v>
      </c>
      <c r="S61" s="8" t="s">
        <v>43</v>
      </c>
      <c r="T61" s="7" t="s">
        <v>266</v>
      </c>
      <c r="U61" s="15"/>
    </row>
    <row r="62" spans="1:21" x14ac:dyDescent="0.25">
      <c r="A62" s="15"/>
      <c r="B62" s="3">
        <v>48.2</v>
      </c>
      <c r="C62" s="3" t="s">
        <v>21</v>
      </c>
      <c r="D62" s="4" t="s">
        <v>22</v>
      </c>
      <c r="E62" s="4">
        <v>3</v>
      </c>
      <c r="F62" s="3" t="s">
        <v>262</v>
      </c>
      <c r="G62" s="6" t="s">
        <v>24</v>
      </c>
      <c r="H62" s="14" t="s">
        <v>263</v>
      </c>
      <c r="I62" s="5">
        <f>6100791.4902*9/12</f>
        <v>4575593.6176499994</v>
      </c>
      <c r="J62" s="14" t="s">
        <v>240</v>
      </c>
      <c r="K62" s="4" t="s">
        <v>241</v>
      </c>
      <c r="L62" s="4" t="s">
        <v>40</v>
      </c>
      <c r="M62" s="4" t="s">
        <v>29</v>
      </c>
      <c r="N62" s="4" t="s">
        <v>30</v>
      </c>
      <c r="O62" s="4" t="s">
        <v>95</v>
      </c>
      <c r="P62" s="4" t="s">
        <v>267</v>
      </c>
      <c r="Q62" s="4"/>
      <c r="R62" s="11">
        <v>45364</v>
      </c>
      <c r="S62" s="4" t="s">
        <v>43</v>
      </c>
      <c r="T62" s="4" t="s">
        <v>266</v>
      </c>
      <c r="U62" s="15"/>
    </row>
    <row r="63" spans="1:21" x14ac:dyDescent="0.25">
      <c r="A63" s="15"/>
      <c r="B63" s="7">
        <v>49.1</v>
      </c>
      <c r="C63" s="7" t="s">
        <v>21</v>
      </c>
      <c r="D63" s="8" t="s">
        <v>22</v>
      </c>
      <c r="E63" s="8">
        <v>3</v>
      </c>
      <c r="F63" s="7" t="s">
        <v>268</v>
      </c>
      <c r="G63" s="10" t="s">
        <v>24</v>
      </c>
      <c r="H63" s="13" t="s">
        <v>269</v>
      </c>
      <c r="I63" s="100">
        <f>3900000*9/12+893</f>
        <v>2925893</v>
      </c>
      <c r="J63" s="13" t="s">
        <v>270</v>
      </c>
      <c r="K63" s="8" t="s">
        <v>271</v>
      </c>
      <c r="L63" s="8" t="s">
        <v>272</v>
      </c>
      <c r="M63" s="8" t="s">
        <v>29</v>
      </c>
      <c r="N63" s="8" t="s">
        <v>30</v>
      </c>
      <c r="O63" s="8" t="s">
        <v>49</v>
      </c>
      <c r="P63" s="8" t="s">
        <v>273</v>
      </c>
      <c r="Q63" s="7" t="s">
        <v>274</v>
      </c>
      <c r="R63" s="12" t="s">
        <v>58</v>
      </c>
      <c r="S63" s="8" t="s">
        <v>69</v>
      </c>
      <c r="T63" s="7" t="s">
        <v>275</v>
      </c>
      <c r="U63" s="15"/>
    </row>
    <row r="64" spans="1:21" x14ac:dyDescent="0.25">
      <c r="A64" s="15"/>
      <c r="B64" s="3">
        <v>49.2</v>
      </c>
      <c r="C64" s="3" t="s">
        <v>21</v>
      </c>
      <c r="D64" s="4" t="s">
        <v>22</v>
      </c>
      <c r="E64" s="4">
        <v>3</v>
      </c>
      <c r="F64" s="3" t="s">
        <v>268</v>
      </c>
      <c r="G64" s="6" t="s">
        <v>24</v>
      </c>
      <c r="H64" s="14" t="s">
        <v>276</v>
      </c>
      <c r="I64" s="5">
        <f>3900000*3/12</f>
        <v>975000</v>
      </c>
      <c r="J64" s="14" t="s">
        <v>277</v>
      </c>
      <c r="K64" s="4" t="s">
        <v>271</v>
      </c>
      <c r="L64" s="4" t="s">
        <v>272</v>
      </c>
      <c r="M64" s="4" t="s">
        <v>29</v>
      </c>
      <c r="N64" s="4" t="s">
        <v>30</v>
      </c>
      <c r="O64" s="4" t="s">
        <v>95</v>
      </c>
      <c r="P64" s="86" t="s">
        <v>278</v>
      </c>
      <c r="Q64" s="4"/>
      <c r="R64" s="11">
        <v>45560</v>
      </c>
      <c r="S64" s="4" t="s">
        <v>69</v>
      </c>
      <c r="T64" s="4" t="s">
        <v>275</v>
      </c>
      <c r="U64" s="15"/>
    </row>
    <row r="65" spans="1:21" x14ac:dyDescent="0.25">
      <c r="A65" s="15"/>
      <c r="B65" s="7">
        <v>50.1</v>
      </c>
      <c r="C65" s="7" t="s">
        <v>21</v>
      </c>
      <c r="D65" s="8" t="s">
        <v>22</v>
      </c>
      <c r="E65" s="8">
        <v>3</v>
      </c>
      <c r="F65" s="7" t="s">
        <v>77</v>
      </c>
      <c r="G65" s="10" t="s">
        <v>24</v>
      </c>
      <c r="H65" s="13" t="s">
        <v>279</v>
      </c>
      <c r="I65" s="9">
        <f>1097531.63*11/12</f>
        <v>1006070.6608333333</v>
      </c>
      <c r="J65" s="13" t="s">
        <v>280</v>
      </c>
      <c r="K65" s="8" t="s">
        <v>281</v>
      </c>
      <c r="L65" s="8" t="s">
        <v>282</v>
      </c>
      <c r="M65" s="8" t="s">
        <v>29</v>
      </c>
      <c r="N65" s="8" t="s">
        <v>30</v>
      </c>
      <c r="O65" s="8" t="s">
        <v>49</v>
      </c>
      <c r="P65" s="8" t="s">
        <v>283</v>
      </c>
      <c r="Q65" s="7" t="s">
        <v>284</v>
      </c>
      <c r="R65" s="12" t="s">
        <v>58</v>
      </c>
      <c r="S65" s="8" t="s">
        <v>43</v>
      </c>
      <c r="T65" s="7" t="s">
        <v>145</v>
      </c>
      <c r="U65" s="15"/>
    </row>
    <row r="66" spans="1:21" x14ac:dyDescent="0.25">
      <c r="A66" s="15"/>
      <c r="B66" s="3">
        <v>50.2</v>
      </c>
      <c r="C66" s="3" t="s">
        <v>21</v>
      </c>
      <c r="D66" s="4" t="s">
        <v>22</v>
      </c>
      <c r="E66" s="4">
        <v>3</v>
      </c>
      <c r="F66" s="3" t="s">
        <v>77</v>
      </c>
      <c r="G66" s="6" t="s">
        <v>24</v>
      </c>
      <c r="H66" s="14" t="s">
        <v>279</v>
      </c>
      <c r="I66" s="5">
        <f>1097531.63*1/12</f>
        <v>91460.969166666662</v>
      </c>
      <c r="J66" s="14" t="s">
        <v>280</v>
      </c>
      <c r="K66" s="4" t="s">
        <v>281</v>
      </c>
      <c r="L66" s="4" t="s">
        <v>282</v>
      </c>
      <c r="M66" s="4" t="s">
        <v>29</v>
      </c>
      <c r="N66" s="4" t="s">
        <v>30</v>
      </c>
      <c r="O66" s="4" t="s">
        <v>95</v>
      </c>
      <c r="P66" s="4" t="s">
        <v>285</v>
      </c>
      <c r="Q66" s="4"/>
      <c r="R66" s="11">
        <v>45615</v>
      </c>
      <c r="S66" s="4" t="s">
        <v>43</v>
      </c>
      <c r="T66" s="4" t="s">
        <v>145</v>
      </c>
      <c r="U66" s="15"/>
    </row>
    <row r="67" spans="1:21" x14ac:dyDescent="0.25">
      <c r="A67" s="15"/>
      <c r="B67" s="7">
        <v>51</v>
      </c>
      <c r="C67" s="7" t="s">
        <v>21</v>
      </c>
      <c r="D67" s="8" t="s">
        <v>22</v>
      </c>
      <c r="E67" s="8">
        <v>3</v>
      </c>
      <c r="F67" s="7" t="s">
        <v>286</v>
      </c>
      <c r="G67" s="10" t="s">
        <v>24</v>
      </c>
      <c r="H67" s="13" t="s">
        <v>287</v>
      </c>
      <c r="I67" s="9">
        <f>450000-24687.86-150000-250000</f>
        <v>25312.140000000014</v>
      </c>
      <c r="J67" s="13" t="s">
        <v>288</v>
      </c>
      <c r="K67" s="8" t="s">
        <v>281</v>
      </c>
      <c r="L67" s="8" t="s">
        <v>282</v>
      </c>
      <c r="M67" s="8" t="s">
        <v>30</v>
      </c>
      <c r="N67" s="8" t="s">
        <v>30</v>
      </c>
      <c r="O67" s="8" t="s">
        <v>95</v>
      </c>
      <c r="P67" s="8" t="s">
        <v>289</v>
      </c>
      <c r="Q67" s="7"/>
      <c r="R67" s="12">
        <v>45324</v>
      </c>
      <c r="S67" s="8" t="s">
        <v>43</v>
      </c>
      <c r="T67" s="7" t="s">
        <v>290</v>
      </c>
      <c r="U67" s="15"/>
    </row>
    <row r="68" spans="1:21" x14ac:dyDescent="0.25">
      <c r="A68" s="15"/>
      <c r="B68" s="3">
        <v>52</v>
      </c>
      <c r="C68" s="3" t="s">
        <v>21</v>
      </c>
      <c r="D68" s="4" t="s">
        <v>22</v>
      </c>
      <c r="E68" s="4">
        <v>3</v>
      </c>
      <c r="F68" s="3" t="s">
        <v>286</v>
      </c>
      <c r="G68" s="6" t="s">
        <v>24</v>
      </c>
      <c r="H68" s="14" t="s">
        <v>291</v>
      </c>
      <c r="I68" s="5">
        <v>318685.28999999998</v>
      </c>
      <c r="J68" s="14" t="s">
        <v>292</v>
      </c>
      <c r="K68" s="4" t="s">
        <v>281</v>
      </c>
      <c r="L68" s="4" t="s">
        <v>282</v>
      </c>
      <c r="M68" s="4" t="s">
        <v>29</v>
      </c>
      <c r="N68" s="4" t="s">
        <v>30</v>
      </c>
      <c r="O68" s="4" t="s">
        <v>31</v>
      </c>
      <c r="P68" s="4" t="s">
        <v>293</v>
      </c>
      <c r="Q68" s="4" t="s">
        <v>294</v>
      </c>
      <c r="R68" s="11">
        <v>45398</v>
      </c>
      <c r="S68" s="4" t="s">
        <v>43</v>
      </c>
      <c r="T68" s="4" t="s">
        <v>295</v>
      </c>
      <c r="U68" s="15"/>
    </row>
    <row r="69" spans="1:21" x14ac:dyDescent="0.25">
      <c r="A69" s="15"/>
      <c r="B69" s="7">
        <v>53</v>
      </c>
      <c r="C69" s="7" t="s">
        <v>21</v>
      </c>
      <c r="D69" s="8" t="s">
        <v>22</v>
      </c>
      <c r="E69" s="8">
        <v>4</v>
      </c>
      <c r="F69" s="7" t="s">
        <v>296</v>
      </c>
      <c r="G69" s="10" t="s">
        <v>24</v>
      </c>
      <c r="H69" s="13" t="s">
        <v>297</v>
      </c>
      <c r="I69" s="9">
        <v>33000</v>
      </c>
      <c r="J69" s="13" t="s">
        <v>298</v>
      </c>
      <c r="K69" s="8" t="s">
        <v>281</v>
      </c>
      <c r="L69" s="8" t="s">
        <v>40</v>
      </c>
      <c r="M69" s="8" t="s">
        <v>30</v>
      </c>
      <c r="N69" s="8" t="s">
        <v>29</v>
      </c>
      <c r="O69" s="8" t="s">
        <v>162</v>
      </c>
      <c r="P69" s="8" t="s">
        <v>299</v>
      </c>
      <c r="Q69" s="7"/>
      <c r="R69" s="12">
        <v>45337</v>
      </c>
      <c r="S69" s="8" t="s">
        <v>69</v>
      </c>
      <c r="T69" s="7" t="s">
        <v>300</v>
      </c>
      <c r="U69" s="15"/>
    </row>
    <row r="70" spans="1:21" x14ac:dyDescent="0.25">
      <c r="A70" s="15"/>
      <c r="B70" s="3">
        <v>54</v>
      </c>
      <c r="C70" s="3" t="s">
        <v>21</v>
      </c>
      <c r="D70" s="4" t="s">
        <v>22</v>
      </c>
      <c r="E70" s="4">
        <v>3</v>
      </c>
      <c r="F70" s="3" t="s">
        <v>301</v>
      </c>
      <c r="G70" s="6" t="s">
        <v>24</v>
      </c>
      <c r="H70" s="14" t="s">
        <v>302</v>
      </c>
      <c r="I70" s="5">
        <f>17713.14+14687.86</f>
        <v>32401</v>
      </c>
      <c r="J70" s="14" t="s">
        <v>303</v>
      </c>
      <c r="K70" s="4" t="s">
        <v>281</v>
      </c>
      <c r="L70" s="4" t="s">
        <v>282</v>
      </c>
      <c r="M70" s="4" t="s">
        <v>30</v>
      </c>
      <c r="N70" s="4" t="s">
        <v>29</v>
      </c>
      <c r="O70" s="4" t="s">
        <v>162</v>
      </c>
      <c r="P70" s="4" t="s">
        <v>304</v>
      </c>
      <c r="Q70" s="4"/>
      <c r="R70" s="11">
        <v>45292</v>
      </c>
      <c r="S70" s="4" t="s">
        <v>34</v>
      </c>
      <c r="T70" s="4" t="s">
        <v>305</v>
      </c>
      <c r="U70" s="15"/>
    </row>
    <row r="71" spans="1:21" x14ac:dyDescent="0.25">
      <c r="A71" s="15"/>
      <c r="B71" s="7">
        <v>55</v>
      </c>
      <c r="C71" s="7" t="s">
        <v>21</v>
      </c>
      <c r="D71" s="8" t="s">
        <v>22</v>
      </c>
      <c r="E71" s="8">
        <v>3</v>
      </c>
      <c r="F71" s="7" t="s">
        <v>286</v>
      </c>
      <c r="G71" s="10" t="s">
        <v>24</v>
      </c>
      <c r="H71" s="13" t="s">
        <v>306</v>
      </c>
      <c r="I71" s="9">
        <v>18035.62</v>
      </c>
      <c r="J71" s="13" t="s">
        <v>307</v>
      </c>
      <c r="K71" s="8" t="s">
        <v>281</v>
      </c>
      <c r="L71" s="8" t="s">
        <v>40</v>
      </c>
      <c r="M71" s="8" t="s">
        <v>30</v>
      </c>
      <c r="N71" s="8" t="s">
        <v>29</v>
      </c>
      <c r="O71" s="8" t="s">
        <v>95</v>
      </c>
      <c r="P71" s="8" t="s">
        <v>113</v>
      </c>
      <c r="Q71" s="7"/>
      <c r="R71" s="12">
        <v>45324</v>
      </c>
      <c r="S71" s="8" t="s">
        <v>34</v>
      </c>
      <c r="T71" s="7" t="s">
        <v>308</v>
      </c>
      <c r="U71" s="15"/>
    </row>
    <row r="72" spans="1:21" x14ac:dyDescent="0.25">
      <c r="A72" s="15"/>
      <c r="B72" s="3">
        <v>56</v>
      </c>
      <c r="C72" s="3" t="s">
        <v>21</v>
      </c>
      <c r="D72" s="4" t="s">
        <v>22</v>
      </c>
      <c r="E72" s="4">
        <v>3</v>
      </c>
      <c r="F72" s="3" t="s">
        <v>309</v>
      </c>
      <c r="G72" s="6" t="s">
        <v>24</v>
      </c>
      <c r="H72" s="14" t="s">
        <v>310</v>
      </c>
      <c r="I72" s="5">
        <v>1320000</v>
      </c>
      <c r="J72" s="14" t="s">
        <v>311</v>
      </c>
      <c r="K72" s="4" t="s">
        <v>312</v>
      </c>
      <c r="L72" s="4" t="s">
        <v>313</v>
      </c>
      <c r="M72" s="4" t="s">
        <v>29</v>
      </c>
      <c r="N72" s="4" t="s">
        <v>30</v>
      </c>
      <c r="O72" s="4" t="s">
        <v>31</v>
      </c>
      <c r="P72" s="4" t="s">
        <v>314</v>
      </c>
      <c r="Q72" s="4" t="s">
        <v>315</v>
      </c>
      <c r="R72" s="11">
        <v>45474</v>
      </c>
      <c r="S72" s="4" t="s">
        <v>69</v>
      </c>
      <c r="T72" s="4" t="s">
        <v>316</v>
      </c>
      <c r="U72" s="15"/>
    </row>
    <row r="73" spans="1:21" x14ac:dyDescent="0.25">
      <c r="A73" s="15"/>
      <c r="B73" s="7">
        <v>57</v>
      </c>
      <c r="C73" s="7" t="s">
        <v>21</v>
      </c>
      <c r="D73" s="8" t="s">
        <v>22</v>
      </c>
      <c r="E73" s="8">
        <v>3</v>
      </c>
      <c r="F73" s="7" t="s">
        <v>77</v>
      </c>
      <c r="G73" s="10" t="s">
        <v>24</v>
      </c>
      <c r="H73" s="13" t="s">
        <v>317</v>
      </c>
      <c r="I73" s="9">
        <v>1050000</v>
      </c>
      <c r="J73" s="13" t="s">
        <v>318</v>
      </c>
      <c r="K73" s="8" t="s">
        <v>312</v>
      </c>
      <c r="L73" s="8" t="s">
        <v>313</v>
      </c>
      <c r="M73" s="8" t="s">
        <v>29</v>
      </c>
      <c r="N73" s="8" t="s">
        <v>30</v>
      </c>
      <c r="O73" s="8" t="s">
        <v>95</v>
      </c>
      <c r="P73" s="8" t="s">
        <v>319</v>
      </c>
      <c r="Q73" s="7"/>
      <c r="R73" s="12">
        <v>45657</v>
      </c>
      <c r="S73" s="8" t="s">
        <v>43</v>
      </c>
      <c r="T73" s="7" t="s">
        <v>145</v>
      </c>
      <c r="U73" s="15"/>
    </row>
    <row r="74" spans="1:21" x14ac:dyDescent="0.25">
      <c r="A74" s="15"/>
      <c r="B74" s="3">
        <v>58</v>
      </c>
      <c r="C74" s="3" t="s">
        <v>21</v>
      </c>
      <c r="D74" s="4" t="s">
        <v>22</v>
      </c>
      <c r="E74" s="4">
        <v>3</v>
      </c>
      <c r="F74" s="3" t="s">
        <v>320</v>
      </c>
      <c r="G74" s="6" t="s">
        <v>24</v>
      </c>
      <c r="H74" s="14" t="s">
        <v>321</v>
      </c>
      <c r="I74" s="5">
        <v>27878.400000000001</v>
      </c>
      <c r="J74" s="14" t="s">
        <v>322</v>
      </c>
      <c r="K74" s="4" t="s">
        <v>323</v>
      </c>
      <c r="L74" s="4" t="s">
        <v>40</v>
      </c>
      <c r="M74" s="4" t="s">
        <v>29</v>
      </c>
      <c r="N74" s="4" t="s">
        <v>30</v>
      </c>
      <c r="O74" s="4" t="s">
        <v>49</v>
      </c>
      <c r="P74" s="4" t="s">
        <v>324</v>
      </c>
      <c r="Q74" s="4" t="s">
        <v>325</v>
      </c>
      <c r="R74" s="11">
        <v>46822</v>
      </c>
      <c r="S74" s="4" t="s">
        <v>34</v>
      </c>
      <c r="T74" s="4" t="s">
        <v>326</v>
      </c>
      <c r="U74" s="15"/>
    </row>
    <row r="75" spans="1:21" x14ac:dyDescent="0.25">
      <c r="A75" s="15"/>
      <c r="B75" s="7">
        <v>59</v>
      </c>
      <c r="C75" s="7" t="s">
        <v>21</v>
      </c>
      <c r="D75" s="8" t="s">
        <v>327</v>
      </c>
      <c r="E75" s="8">
        <v>3</v>
      </c>
      <c r="F75" s="7" t="s">
        <v>328</v>
      </c>
      <c r="G75" s="10" t="s">
        <v>329</v>
      </c>
      <c r="H75" s="13" t="s">
        <v>330</v>
      </c>
      <c r="I75" s="9">
        <v>2172396</v>
      </c>
      <c r="J75" s="13" t="s">
        <v>331</v>
      </c>
      <c r="K75" s="8" t="s">
        <v>58</v>
      </c>
      <c r="L75" s="8" t="s">
        <v>332</v>
      </c>
      <c r="M75" s="8" t="s">
        <v>29</v>
      </c>
      <c r="N75" s="8" t="s">
        <v>30</v>
      </c>
      <c r="O75" s="8" t="s">
        <v>31</v>
      </c>
      <c r="P75" s="8" t="s">
        <v>273</v>
      </c>
      <c r="Q75" s="7" t="s">
        <v>274</v>
      </c>
      <c r="R75" s="12"/>
      <c r="S75" s="8"/>
      <c r="T75" s="7" t="s">
        <v>275</v>
      </c>
      <c r="U75" s="15"/>
    </row>
    <row r="76" spans="1:21" x14ac:dyDescent="0.25">
      <c r="A76" s="15"/>
      <c r="B76" s="40">
        <v>60</v>
      </c>
      <c r="C76" s="40" t="s">
        <v>21</v>
      </c>
      <c r="D76" s="41" t="s">
        <v>333</v>
      </c>
      <c r="E76" s="41">
        <v>3</v>
      </c>
      <c r="F76" s="40" t="s">
        <v>334</v>
      </c>
      <c r="G76" s="42" t="s">
        <v>335</v>
      </c>
      <c r="H76" s="43" t="s">
        <v>336</v>
      </c>
      <c r="I76" s="44">
        <v>13875895.32</v>
      </c>
      <c r="J76" s="43" t="s">
        <v>337</v>
      </c>
      <c r="K76" s="41" t="s">
        <v>58</v>
      </c>
      <c r="L76" s="41" t="s">
        <v>338</v>
      </c>
      <c r="M76" s="41" t="s">
        <v>30</v>
      </c>
      <c r="N76" s="41" t="s">
        <v>30</v>
      </c>
      <c r="O76" s="41" t="s">
        <v>49</v>
      </c>
      <c r="P76" s="41" t="s">
        <v>339</v>
      </c>
      <c r="Q76" s="41" t="s">
        <v>340</v>
      </c>
      <c r="R76" s="45">
        <v>45627</v>
      </c>
      <c r="S76" s="41" t="s">
        <v>43</v>
      </c>
      <c r="T76" s="41" t="s">
        <v>341</v>
      </c>
      <c r="U76" s="15"/>
    </row>
    <row r="77" spans="1:21" x14ac:dyDescent="0.25">
      <c r="A77" s="15"/>
      <c r="B77" s="34">
        <v>61</v>
      </c>
      <c r="C77" s="34" t="s">
        <v>21</v>
      </c>
      <c r="D77" s="35" t="s">
        <v>333</v>
      </c>
      <c r="E77" s="35">
        <v>3</v>
      </c>
      <c r="F77" s="34" t="s">
        <v>342</v>
      </c>
      <c r="G77" s="36" t="s">
        <v>335</v>
      </c>
      <c r="H77" s="37" t="s">
        <v>343</v>
      </c>
      <c r="I77" s="100">
        <v>4053300</v>
      </c>
      <c r="J77" s="37" t="s">
        <v>344</v>
      </c>
      <c r="K77" s="35" t="s">
        <v>58</v>
      </c>
      <c r="L77" s="35" t="s">
        <v>338</v>
      </c>
      <c r="M77" s="35" t="s">
        <v>30</v>
      </c>
      <c r="N77" s="35" t="s">
        <v>30</v>
      </c>
      <c r="O77" s="35" t="s">
        <v>49</v>
      </c>
      <c r="P77" s="35" t="s">
        <v>345</v>
      </c>
      <c r="Q77" s="34" t="s">
        <v>346</v>
      </c>
      <c r="R77" s="39">
        <v>45482</v>
      </c>
      <c r="S77" s="35" t="s">
        <v>69</v>
      </c>
      <c r="T77" s="35" t="s">
        <v>347</v>
      </c>
      <c r="U77" s="15"/>
    </row>
    <row r="78" spans="1:21" x14ac:dyDescent="0.25">
      <c r="A78" s="15"/>
      <c r="B78" s="40">
        <v>62</v>
      </c>
      <c r="C78" s="40" t="s">
        <v>21</v>
      </c>
      <c r="D78" s="41" t="s">
        <v>333</v>
      </c>
      <c r="E78" s="41">
        <v>3</v>
      </c>
      <c r="F78" s="40" t="s">
        <v>342</v>
      </c>
      <c r="G78" s="42" t="s">
        <v>335</v>
      </c>
      <c r="H78" s="43" t="s">
        <v>348</v>
      </c>
      <c r="I78" s="101">
        <v>19946700</v>
      </c>
      <c r="J78" s="43" t="s">
        <v>344</v>
      </c>
      <c r="K78" s="41" t="s">
        <v>58</v>
      </c>
      <c r="L78" s="41" t="s">
        <v>338</v>
      </c>
      <c r="M78" s="41" t="s">
        <v>30</v>
      </c>
      <c r="N78" s="41" t="s">
        <v>30</v>
      </c>
      <c r="O78" s="41" t="s">
        <v>95</v>
      </c>
      <c r="P78" s="41" t="s">
        <v>349</v>
      </c>
      <c r="Q78" s="41"/>
      <c r="R78" s="45">
        <v>45392</v>
      </c>
      <c r="S78" s="41" t="s">
        <v>69</v>
      </c>
      <c r="T78" s="41" t="s">
        <v>347</v>
      </c>
      <c r="U78" s="15"/>
    </row>
    <row r="79" spans="1:21" x14ac:dyDescent="0.25">
      <c r="A79" s="15"/>
      <c r="B79" s="34">
        <v>63</v>
      </c>
      <c r="C79" s="34" t="s">
        <v>21</v>
      </c>
      <c r="D79" s="35" t="s">
        <v>333</v>
      </c>
      <c r="E79" s="35">
        <v>3</v>
      </c>
      <c r="F79" s="34" t="s">
        <v>334</v>
      </c>
      <c r="G79" s="36" t="s">
        <v>335</v>
      </c>
      <c r="H79" s="37" t="s">
        <v>350</v>
      </c>
      <c r="I79" s="101">
        <f>13154724.06/20*12</f>
        <v>7892834.4359999998</v>
      </c>
      <c r="J79" s="37" t="s">
        <v>351</v>
      </c>
      <c r="K79" s="35" t="s">
        <v>58</v>
      </c>
      <c r="L79" s="35" t="s">
        <v>338</v>
      </c>
      <c r="M79" s="35" t="s">
        <v>30</v>
      </c>
      <c r="N79" s="35" t="s">
        <v>30</v>
      </c>
      <c r="O79" s="35" t="s">
        <v>95</v>
      </c>
      <c r="P79" s="35" t="s">
        <v>352</v>
      </c>
      <c r="Q79" s="34"/>
      <c r="R79" s="39">
        <v>45400</v>
      </c>
      <c r="S79" s="35" t="s">
        <v>43</v>
      </c>
      <c r="T79" s="35" t="s">
        <v>353</v>
      </c>
      <c r="U79" s="15"/>
    </row>
    <row r="80" spans="1:21" x14ac:dyDescent="0.25">
      <c r="A80" s="15"/>
      <c r="B80" s="40">
        <v>64</v>
      </c>
      <c r="C80" s="40" t="s">
        <v>21</v>
      </c>
      <c r="D80" s="41" t="s">
        <v>333</v>
      </c>
      <c r="E80" s="41">
        <v>3</v>
      </c>
      <c r="F80" s="40" t="s">
        <v>334</v>
      </c>
      <c r="G80" s="42" t="s">
        <v>335</v>
      </c>
      <c r="H80" s="43" t="s">
        <v>354</v>
      </c>
      <c r="I80" s="101">
        <f>6784541.26425833-1772374.45</f>
        <v>5012166.8142583296</v>
      </c>
      <c r="J80" s="43" t="s">
        <v>355</v>
      </c>
      <c r="K80" s="41" t="s">
        <v>58</v>
      </c>
      <c r="L80" s="41" t="s">
        <v>338</v>
      </c>
      <c r="M80" s="41" t="s">
        <v>29</v>
      </c>
      <c r="N80" s="41" t="s">
        <v>30</v>
      </c>
      <c r="O80" s="41" t="s">
        <v>31</v>
      </c>
      <c r="P80" s="41" t="s">
        <v>356</v>
      </c>
      <c r="Q80" s="41" t="s">
        <v>357</v>
      </c>
      <c r="R80" s="45">
        <v>45320</v>
      </c>
      <c r="S80" s="41" t="s">
        <v>34</v>
      </c>
      <c r="T80" s="41" t="s">
        <v>358</v>
      </c>
      <c r="U80" s="15"/>
    </row>
    <row r="81" spans="1:21" x14ac:dyDescent="0.25">
      <c r="A81" s="15"/>
      <c r="B81" s="34">
        <v>65</v>
      </c>
      <c r="C81" s="34" t="s">
        <v>21</v>
      </c>
      <c r="D81" s="35" t="s">
        <v>333</v>
      </c>
      <c r="E81" s="35">
        <v>3</v>
      </c>
      <c r="F81" s="34" t="s">
        <v>359</v>
      </c>
      <c r="G81" s="36" t="s">
        <v>335</v>
      </c>
      <c r="H81" s="37" t="s">
        <v>360</v>
      </c>
      <c r="I81" s="38">
        <v>2931795.9</v>
      </c>
      <c r="J81" s="37" t="s">
        <v>361</v>
      </c>
      <c r="K81" s="35" t="s">
        <v>58</v>
      </c>
      <c r="L81" s="35" t="s">
        <v>338</v>
      </c>
      <c r="M81" s="35" t="s">
        <v>29</v>
      </c>
      <c r="N81" s="35" t="s">
        <v>30</v>
      </c>
      <c r="O81" s="35" t="s">
        <v>31</v>
      </c>
      <c r="P81" s="35" t="s">
        <v>362</v>
      </c>
      <c r="Q81" s="34" t="s">
        <v>363</v>
      </c>
      <c r="R81" s="39">
        <v>45635</v>
      </c>
      <c r="S81" s="35" t="s">
        <v>34</v>
      </c>
      <c r="T81" s="35" t="s">
        <v>364</v>
      </c>
      <c r="U81" s="15"/>
    </row>
    <row r="82" spans="1:21" x14ac:dyDescent="0.25">
      <c r="A82" s="15"/>
      <c r="B82" s="40">
        <v>66</v>
      </c>
      <c r="C82" s="40" t="s">
        <v>21</v>
      </c>
      <c r="D82" s="41" t="s">
        <v>333</v>
      </c>
      <c r="E82" s="41">
        <v>3</v>
      </c>
      <c r="F82" s="40" t="s">
        <v>365</v>
      </c>
      <c r="G82" s="42" t="s">
        <v>335</v>
      </c>
      <c r="H82" s="43" t="s">
        <v>366</v>
      </c>
      <c r="I82" s="44">
        <v>2139585</v>
      </c>
      <c r="J82" s="43" t="s">
        <v>367</v>
      </c>
      <c r="K82" s="41" t="s">
        <v>58</v>
      </c>
      <c r="L82" s="41" t="s">
        <v>338</v>
      </c>
      <c r="M82" s="41" t="s">
        <v>29</v>
      </c>
      <c r="N82" s="41" t="s">
        <v>30</v>
      </c>
      <c r="O82" s="41" t="s">
        <v>31</v>
      </c>
      <c r="P82" s="41" t="s">
        <v>368</v>
      </c>
      <c r="Q82" s="41" t="s">
        <v>369</v>
      </c>
      <c r="R82" s="45">
        <v>45349</v>
      </c>
      <c r="S82" s="41" t="s">
        <v>69</v>
      </c>
      <c r="T82" s="41" t="s">
        <v>370</v>
      </c>
      <c r="U82" s="15"/>
    </row>
    <row r="83" spans="1:21" x14ac:dyDescent="0.25">
      <c r="A83" s="15"/>
      <c r="B83" s="34">
        <v>67</v>
      </c>
      <c r="C83" s="34" t="s">
        <v>21</v>
      </c>
      <c r="D83" s="35" t="s">
        <v>333</v>
      </c>
      <c r="E83" s="35">
        <v>3</v>
      </c>
      <c r="F83" s="34" t="s">
        <v>334</v>
      </c>
      <c r="G83" s="36" t="s">
        <v>335</v>
      </c>
      <c r="H83" s="37" t="s">
        <v>371</v>
      </c>
      <c r="I83" s="38">
        <v>200000</v>
      </c>
      <c r="J83" s="37" t="s">
        <v>372</v>
      </c>
      <c r="K83" s="35" t="s">
        <v>58</v>
      </c>
      <c r="L83" s="35" t="s">
        <v>338</v>
      </c>
      <c r="M83" s="35" t="s">
        <v>29</v>
      </c>
      <c r="N83" s="35" t="s">
        <v>30</v>
      </c>
      <c r="O83" s="35" t="s">
        <v>49</v>
      </c>
      <c r="P83" s="35" t="s">
        <v>373</v>
      </c>
      <c r="Q83" s="34" t="s">
        <v>374</v>
      </c>
      <c r="R83" s="39">
        <v>45627</v>
      </c>
      <c r="S83" s="35" t="s">
        <v>43</v>
      </c>
      <c r="T83" s="35" t="s">
        <v>353</v>
      </c>
      <c r="U83" s="15"/>
    </row>
    <row r="84" spans="1:21" x14ac:dyDescent="0.25">
      <c r="A84" s="15"/>
      <c r="B84" s="40">
        <v>68</v>
      </c>
      <c r="C84" s="40" t="s">
        <v>21</v>
      </c>
      <c r="D84" s="41" t="s">
        <v>333</v>
      </c>
      <c r="E84" s="41">
        <v>3</v>
      </c>
      <c r="F84" s="40" t="s">
        <v>365</v>
      </c>
      <c r="G84" s="42" t="s">
        <v>335</v>
      </c>
      <c r="H84" s="43" t="s">
        <v>375</v>
      </c>
      <c r="I84" s="44">
        <v>2340867.1990499999</v>
      </c>
      <c r="J84" s="43" t="s">
        <v>376</v>
      </c>
      <c r="K84" s="41" t="s">
        <v>58</v>
      </c>
      <c r="L84" s="41" t="s">
        <v>338</v>
      </c>
      <c r="M84" s="41" t="s">
        <v>30</v>
      </c>
      <c r="N84" s="41" t="s">
        <v>30</v>
      </c>
      <c r="O84" s="41" t="s">
        <v>49</v>
      </c>
      <c r="P84" s="41" t="s">
        <v>377</v>
      </c>
      <c r="Q84" s="41" t="s">
        <v>378</v>
      </c>
      <c r="R84" s="45">
        <v>45620</v>
      </c>
      <c r="S84" s="41" t="s">
        <v>69</v>
      </c>
      <c r="T84" s="41" t="s">
        <v>379</v>
      </c>
      <c r="U84" s="15"/>
    </row>
    <row r="85" spans="1:21" x14ac:dyDescent="0.25">
      <c r="A85" s="15"/>
      <c r="B85" s="34">
        <v>69.099999999999994</v>
      </c>
      <c r="C85" s="34" t="s">
        <v>21</v>
      </c>
      <c r="D85" s="35" t="s">
        <v>333</v>
      </c>
      <c r="E85" s="35">
        <v>3</v>
      </c>
      <c r="F85" s="34" t="s">
        <v>380</v>
      </c>
      <c r="G85" s="36" t="s">
        <v>335</v>
      </c>
      <c r="H85" s="37" t="s">
        <v>381</v>
      </c>
      <c r="I85" s="38">
        <v>55402.578333333331</v>
      </c>
      <c r="J85" s="37" t="s">
        <v>382</v>
      </c>
      <c r="K85" s="35" t="s">
        <v>58</v>
      </c>
      <c r="L85" s="35" t="s">
        <v>338</v>
      </c>
      <c r="M85" s="35" t="s">
        <v>30</v>
      </c>
      <c r="N85" s="35" t="s">
        <v>30</v>
      </c>
      <c r="O85" s="35" t="s">
        <v>31</v>
      </c>
      <c r="P85" s="35" t="s">
        <v>383</v>
      </c>
      <c r="Q85" s="34" t="s">
        <v>384</v>
      </c>
      <c r="R85" s="39">
        <v>45302</v>
      </c>
      <c r="S85" s="35" t="s">
        <v>69</v>
      </c>
      <c r="T85" s="35" t="s">
        <v>379</v>
      </c>
      <c r="U85" s="15"/>
    </row>
    <row r="86" spans="1:21" x14ac:dyDescent="0.25">
      <c r="A86" s="15"/>
      <c r="B86" s="40">
        <v>69.2</v>
      </c>
      <c r="C86" s="40" t="s">
        <v>21</v>
      </c>
      <c r="D86" s="41" t="s">
        <v>333</v>
      </c>
      <c r="E86" s="41">
        <v>3</v>
      </c>
      <c r="F86" s="40" t="s">
        <v>380</v>
      </c>
      <c r="G86" s="42" t="s">
        <v>335</v>
      </c>
      <c r="H86" s="43" t="s">
        <v>385</v>
      </c>
      <c r="I86" s="44">
        <v>649041.20517500001</v>
      </c>
      <c r="J86" s="43" t="s">
        <v>382</v>
      </c>
      <c r="K86" s="41" t="s">
        <v>58</v>
      </c>
      <c r="L86" s="41" t="s">
        <v>338</v>
      </c>
      <c r="M86" s="41" t="s">
        <v>30</v>
      </c>
      <c r="N86" s="41" t="s">
        <v>30</v>
      </c>
      <c r="O86" s="41" t="s">
        <v>95</v>
      </c>
      <c r="P86" s="41" t="s">
        <v>113</v>
      </c>
      <c r="Q86" s="41"/>
      <c r="R86" s="45">
        <v>45423</v>
      </c>
      <c r="S86" s="41" t="s">
        <v>69</v>
      </c>
      <c r="T86" s="41" t="s">
        <v>379</v>
      </c>
      <c r="U86" s="15"/>
    </row>
    <row r="87" spans="1:21" x14ac:dyDescent="0.25">
      <c r="A87" s="15"/>
      <c r="B87" s="34"/>
      <c r="C87" s="34"/>
      <c r="D87" s="35"/>
      <c r="E87" s="35"/>
      <c r="F87" s="34"/>
      <c r="G87" s="36"/>
      <c r="H87" s="37" t="s">
        <v>76</v>
      </c>
      <c r="I87" s="38"/>
      <c r="J87" s="37"/>
      <c r="K87" s="35"/>
      <c r="L87" s="35"/>
      <c r="M87" s="35"/>
      <c r="N87" s="35"/>
      <c r="O87" s="35"/>
      <c r="P87" s="35"/>
      <c r="Q87" s="34"/>
      <c r="R87" s="39"/>
      <c r="S87" s="35"/>
      <c r="T87" s="35"/>
      <c r="U87" s="15"/>
    </row>
    <row r="88" spans="1:21" x14ac:dyDescent="0.25">
      <c r="A88" s="15"/>
      <c r="B88" s="99">
        <v>71.099999999999994</v>
      </c>
      <c r="C88" s="40" t="s">
        <v>21</v>
      </c>
      <c r="D88" s="41" t="s">
        <v>333</v>
      </c>
      <c r="E88" s="41">
        <v>3</v>
      </c>
      <c r="F88" s="40" t="s">
        <v>334</v>
      </c>
      <c r="G88" s="42" t="s">
        <v>335</v>
      </c>
      <c r="H88" s="43" t="s">
        <v>386</v>
      </c>
      <c r="I88" s="44">
        <v>465830</v>
      </c>
      <c r="J88" s="43" t="s">
        <v>387</v>
      </c>
      <c r="K88" s="41" t="s">
        <v>58</v>
      </c>
      <c r="L88" s="41" t="s">
        <v>40</v>
      </c>
      <c r="M88" s="41" t="s">
        <v>29</v>
      </c>
      <c r="N88" s="41" t="s">
        <v>30</v>
      </c>
      <c r="O88" s="41" t="s">
        <v>95</v>
      </c>
      <c r="P88" s="41" t="s">
        <v>388</v>
      </c>
      <c r="Q88" s="41"/>
      <c r="R88" s="45">
        <v>45445</v>
      </c>
      <c r="S88" s="41" t="s">
        <v>69</v>
      </c>
      <c r="T88" s="41" t="s">
        <v>389</v>
      </c>
      <c r="U88" s="15"/>
    </row>
    <row r="89" spans="1:21" x14ac:dyDescent="0.25">
      <c r="A89" s="15"/>
      <c r="B89" s="99">
        <v>71.2</v>
      </c>
      <c r="C89" s="40" t="s">
        <v>21</v>
      </c>
      <c r="D89" s="41" t="s">
        <v>333</v>
      </c>
      <c r="E89" s="41">
        <v>3</v>
      </c>
      <c r="F89" s="40" t="s">
        <v>334</v>
      </c>
      <c r="G89" s="42" t="s">
        <v>335</v>
      </c>
      <c r="H89" s="43" t="s">
        <v>386</v>
      </c>
      <c r="I89" s="44">
        <v>50350</v>
      </c>
      <c r="J89" s="43" t="s">
        <v>387</v>
      </c>
      <c r="K89" s="41" t="s">
        <v>58</v>
      </c>
      <c r="L89" s="41" t="s">
        <v>40</v>
      </c>
      <c r="M89" s="41" t="s">
        <v>29</v>
      </c>
      <c r="N89" s="41" t="s">
        <v>30</v>
      </c>
      <c r="O89" s="41" t="s">
        <v>95</v>
      </c>
      <c r="P89" s="41" t="s">
        <v>388</v>
      </c>
      <c r="Q89" s="41"/>
      <c r="R89" s="45">
        <v>45445</v>
      </c>
      <c r="S89" s="41" t="s">
        <v>69</v>
      </c>
      <c r="T89" s="41" t="s">
        <v>389</v>
      </c>
      <c r="U89" s="15"/>
    </row>
    <row r="90" spans="1:21" x14ac:dyDescent="0.25">
      <c r="A90" s="15"/>
      <c r="B90" s="34">
        <v>72</v>
      </c>
      <c r="C90" s="34" t="s">
        <v>21</v>
      </c>
      <c r="D90" s="35" t="s">
        <v>333</v>
      </c>
      <c r="E90" s="35">
        <v>3</v>
      </c>
      <c r="F90" s="34" t="s">
        <v>390</v>
      </c>
      <c r="G90" s="36" t="s">
        <v>335</v>
      </c>
      <c r="H90" s="37" t="s">
        <v>391</v>
      </c>
      <c r="I90" s="38">
        <v>300000</v>
      </c>
      <c r="J90" s="37" t="s">
        <v>392</v>
      </c>
      <c r="K90" s="35" t="s">
        <v>58</v>
      </c>
      <c r="L90" s="35" t="s">
        <v>338</v>
      </c>
      <c r="M90" s="35" t="s">
        <v>29</v>
      </c>
      <c r="N90" s="35" t="s">
        <v>30</v>
      </c>
      <c r="O90" s="35" t="s">
        <v>49</v>
      </c>
      <c r="P90" s="35" t="s">
        <v>393</v>
      </c>
      <c r="Q90" s="34" t="s">
        <v>394</v>
      </c>
      <c r="R90" s="39">
        <v>45483</v>
      </c>
      <c r="S90" s="35" t="s">
        <v>43</v>
      </c>
      <c r="T90" s="35" t="s">
        <v>395</v>
      </c>
      <c r="U90" s="15"/>
    </row>
    <row r="91" spans="1:21" x14ac:dyDescent="0.25">
      <c r="A91" s="15"/>
      <c r="B91" s="40">
        <v>73.099999999999994</v>
      </c>
      <c r="C91" s="40" t="s">
        <v>21</v>
      </c>
      <c r="D91" s="41" t="s">
        <v>333</v>
      </c>
      <c r="E91" s="41">
        <v>3</v>
      </c>
      <c r="F91" s="40" t="s">
        <v>396</v>
      </c>
      <c r="G91" s="42" t="s">
        <v>335</v>
      </c>
      <c r="H91" s="43" t="s">
        <v>397</v>
      </c>
      <c r="I91" s="44">
        <v>30750</v>
      </c>
      <c r="J91" s="43" t="s">
        <v>398</v>
      </c>
      <c r="K91" s="41" t="s">
        <v>58</v>
      </c>
      <c r="L91" s="41" t="s">
        <v>338</v>
      </c>
      <c r="M91" s="41" t="s">
        <v>29</v>
      </c>
      <c r="N91" s="41" t="s">
        <v>30</v>
      </c>
      <c r="O91" s="41" t="s">
        <v>31</v>
      </c>
      <c r="P91" s="41" t="s">
        <v>399</v>
      </c>
      <c r="Q91" s="41" t="s">
        <v>400</v>
      </c>
      <c r="R91" s="45">
        <v>45349</v>
      </c>
      <c r="S91" s="41" t="s">
        <v>43</v>
      </c>
      <c r="T91" s="41" t="s">
        <v>401</v>
      </c>
      <c r="U91" s="15"/>
    </row>
    <row r="92" spans="1:21" x14ac:dyDescent="0.25">
      <c r="A92" s="15"/>
      <c r="B92" s="34">
        <v>73.2</v>
      </c>
      <c r="C92" s="34" t="s">
        <v>21</v>
      </c>
      <c r="D92" s="35" t="s">
        <v>333</v>
      </c>
      <c r="E92" s="35">
        <v>3</v>
      </c>
      <c r="F92" s="34" t="s">
        <v>396</v>
      </c>
      <c r="G92" s="36" t="s">
        <v>335</v>
      </c>
      <c r="H92" s="37" t="s">
        <v>402</v>
      </c>
      <c r="I92" s="38">
        <v>360236.25</v>
      </c>
      <c r="J92" s="37" t="s">
        <v>398</v>
      </c>
      <c r="K92" s="35" t="s">
        <v>58</v>
      </c>
      <c r="L92" s="35" t="s">
        <v>338</v>
      </c>
      <c r="M92" s="35" t="s">
        <v>30</v>
      </c>
      <c r="N92" s="35" t="s">
        <v>30</v>
      </c>
      <c r="O92" s="35" t="s">
        <v>95</v>
      </c>
      <c r="P92" s="35" t="s">
        <v>113</v>
      </c>
      <c r="Q92" s="34"/>
      <c r="R92" s="39">
        <v>45349</v>
      </c>
      <c r="S92" s="35" t="s">
        <v>43</v>
      </c>
      <c r="T92" s="35" t="s">
        <v>401</v>
      </c>
      <c r="U92" s="15"/>
    </row>
    <row r="93" spans="1:21" x14ac:dyDescent="0.25">
      <c r="A93" s="15"/>
      <c r="B93" s="40">
        <v>74.099999999999994</v>
      </c>
      <c r="C93" s="40" t="s">
        <v>21</v>
      </c>
      <c r="D93" s="41" t="s">
        <v>333</v>
      </c>
      <c r="E93" s="41">
        <v>3</v>
      </c>
      <c r="F93" s="40" t="s">
        <v>403</v>
      </c>
      <c r="G93" s="42" t="s">
        <v>335</v>
      </c>
      <c r="H93" s="43" t="s">
        <v>404</v>
      </c>
      <c r="I93" s="44">
        <v>123577.3602</v>
      </c>
      <c r="J93" s="43" t="s">
        <v>405</v>
      </c>
      <c r="K93" s="41" t="s">
        <v>58</v>
      </c>
      <c r="L93" s="41" t="s">
        <v>338</v>
      </c>
      <c r="M93" s="41" t="s">
        <v>29</v>
      </c>
      <c r="N93" s="41" t="s">
        <v>30</v>
      </c>
      <c r="O93" s="41" t="s">
        <v>31</v>
      </c>
      <c r="P93" s="41" t="s">
        <v>406</v>
      </c>
      <c r="Q93" s="41" t="s">
        <v>407</v>
      </c>
      <c r="R93" s="45">
        <v>45384</v>
      </c>
      <c r="S93" s="41" t="s">
        <v>34</v>
      </c>
      <c r="T93" s="41" t="s">
        <v>353</v>
      </c>
      <c r="U93" s="15"/>
    </row>
    <row r="94" spans="1:21" x14ac:dyDescent="0.25">
      <c r="A94" s="15"/>
      <c r="B94" s="34">
        <v>74.2</v>
      </c>
      <c r="C94" s="34" t="s">
        <v>21</v>
      </c>
      <c r="D94" s="35" t="s">
        <v>333</v>
      </c>
      <c r="E94" s="35">
        <v>3</v>
      </c>
      <c r="F94" s="34" t="s">
        <v>403</v>
      </c>
      <c r="G94" s="36" t="s">
        <v>335</v>
      </c>
      <c r="H94" s="37" t="s">
        <v>408</v>
      </c>
      <c r="I94" s="38">
        <v>266927.09859999997</v>
      </c>
      <c r="J94" s="37" t="s">
        <v>405</v>
      </c>
      <c r="K94" s="35" t="s">
        <v>58</v>
      </c>
      <c r="L94" s="35" t="s">
        <v>338</v>
      </c>
      <c r="M94" s="35" t="s">
        <v>30</v>
      </c>
      <c r="N94" s="35" t="s">
        <v>30</v>
      </c>
      <c r="O94" s="35" t="s">
        <v>95</v>
      </c>
      <c r="P94" s="35" t="s">
        <v>113</v>
      </c>
      <c r="Q94" s="34"/>
      <c r="R94" s="39">
        <v>45383</v>
      </c>
      <c r="S94" s="35" t="s">
        <v>34</v>
      </c>
      <c r="T94" s="35" t="s">
        <v>353</v>
      </c>
      <c r="U94" s="15"/>
    </row>
    <row r="95" spans="1:21" x14ac:dyDescent="0.25">
      <c r="A95" s="15"/>
      <c r="B95" s="40">
        <v>75</v>
      </c>
      <c r="C95" s="40" t="s">
        <v>21</v>
      </c>
      <c r="D95" s="41" t="s">
        <v>333</v>
      </c>
      <c r="E95" s="41">
        <v>3</v>
      </c>
      <c r="F95" s="40" t="s">
        <v>380</v>
      </c>
      <c r="G95" s="42" t="s">
        <v>335</v>
      </c>
      <c r="H95" s="43" t="s">
        <v>409</v>
      </c>
      <c r="I95" s="44">
        <v>274348.59015</v>
      </c>
      <c r="J95" s="43" t="s">
        <v>410</v>
      </c>
      <c r="K95" s="41" t="s">
        <v>58</v>
      </c>
      <c r="L95" s="41" t="s">
        <v>338</v>
      </c>
      <c r="M95" s="41" t="s">
        <v>29</v>
      </c>
      <c r="N95" s="41" t="s">
        <v>30</v>
      </c>
      <c r="O95" s="41" t="s">
        <v>31</v>
      </c>
      <c r="P95" s="41" t="s">
        <v>411</v>
      </c>
      <c r="Q95" s="41" t="s">
        <v>412</v>
      </c>
      <c r="R95" s="45">
        <v>45642</v>
      </c>
      <c r="S95" s="41" t="s">
        <v>34</v>
      </c>
      <c r="T95" s="41" t="s">
        <v>379</v>
      </c>
      <c r="U95" s="15"/>
    </row>
    <row r="96" spans="1:21" x14ac:dyDescent="0.25">
      <c r="A96" s="15"/>
      <c r="B96" s="34">
        <v>76</v>
      </c>
      <c r="C96" s="34" t="s">
        <v>21</v>
      </c>
      <c r="D96" s="35" t="s">
        <v>333</v>
      </c>
      <c r="E96" s="35">
        <v>3</v>
      </c>
      <c r="F96" s="34" t="s">
        <v>380</v>
      </c>
      <c r="G96" s="36" t="s">
        <v>335</v>
      </c>
      <c r="H96" s="37" t="s">
        <v>413</v>
      </c>
      <c r="I96" s="101">
        <v>100000</v>
      </c>
      <c r="J96" s="37" t="s">
        <v>414</v>
      </c>
      <c r="K96" s="35" t="s">
        <v>58</v>
      </c>
      <c r="L96" s="35" t="s">
        <v>338</v>
      </c>
      <c r="M96" s="35" t="s">
        <v>29</v>
      </c>
      <c r="N96" s="35" t="s">
        <v>30</v>
      </c>
      <c r="O96" s="35" t="s">
        <v>49</v>
      </c>
      <c r="P96" s="35" t="s">
        <v>415</v>
      </c>
      <c r="Q96" s="34" t="s">
        <v>416</v>
      </c>
      <c r="R96" s="39">
        <v>45383</v>
      </c>
      <c r="S96" s="35" t="s">
        <v>43</v>
      </c>
      <c r="T96" s="35" t="s">
        <v>417</v>
      </c>
      <c r="U96" s="15"/>
    </row>
    <row r="97" spans="1:21" x14ac:dyDescent="0.25">
      <c r="A97" s="15"/>
      <c r="B97" s="40"/>
      <c r="C97" s="40"/>
      <c r="D97" s="41"/>
      <c r="E97" s="41"/>
      <c r="F97" s="40"/>
      <c r="G97" s="42"/>
      <c r="H97" s="43" t="s">
        <v>76</v>
      </c>
      <c r="I97" s="44"/>
      <c r="J97" s="43"/>
      <c r="K97" s="41"/>
      <c r="L97" s="41"/>
      <c r="M97" s="41"/>
      <c r="N97" s="41"/>
      <c r="O97" s="41"/>
      <c r="P97" s="41"/>
      <c r="Q97" s="41"/>
      <c r="R97" s="45"/>
      <c r="S97" s="41"/>
      <c r="T97" s="41"/>
      <c r="U97" s="15"/>
    </row>
    <row r="98" spans="1:21" x14ac:dyDescent="0.25">
      <c r="A98" s="15"/>
      <c r="B98" s="34">
        <v>78</v>
      </c>
      <c r="C98" s="34" t="s">
        <v>21</v>
      </c>
      <c r="D98" s="35" t="s">
        <v>333</v>
      </c>
      <c r="E98" s="35">
        <v>3</v>
      </c>
      <c r="F98" s="34" t="s">
        <v>65</v>
      </c>
      <c r="G98" s="36" t="s">
        <v>335</v>
      </c>
      <c r="H98" s="37" t="s">
        <v>418</v>
      </c>
      <c r="I98" s="38">
        <f>51839.09865+106500-61631.72-22266.86-31309.84-3330.68</f>
        <v>39799.998650000001</v>
      </c>
      <c r="J98" s="37" t="s">
        <v>419</v>
      </c>
      <c r="K98" s="35" t="s">
        <v>58</v>
      </c>
      <c r="L98" s="35" t="s">
        <v>40</v>
      </c>
      <c r="M98" s="35" t="s">
        <v>29</v>
      </c>
      <c r="N98" s="35" t="s">
        <v>30</v>
      </c>
      <c r="O98" s="35" t="s">
        <v>95</v>
      </c>
      <c r="P98" s="35" t="s">
        <v>388</v>
      </c>
      <c r="Q98" s="34"/>
      <c r="R98" s="39">
        <v>45445</v>
      </c>
      <c r="S98" s="35" t="s">
        <v>34</v>
      </c>
      <c r="T98" s="35" t="s">
        <v>420</v>
      </c>
      <c r="U98" s="15"/>
    </row>
    <row r="99" spans="1:21" x14ac:dyDescent="0.25">
      <c r="A99" s="15"/>
      <c r="B99" s="40">
        <v>79</v>
      </c>
      <c r="C99" s="40" t="s">
        <v>21</v>
      </c>
      <c r="D99" s="41" t="s">
        <v>333</v>
      </c>
      <c r="E99" s="41">
        <v>3</v>
      </c>
      <c r="F99" s="40" t="s">
        <v>334</v>
      </c>
      <c r="G99" s="42" t="s">
        <v>335</v>
      </c>
      <c r="H99" s="43" t="s">
        <v>421</v>
      </c>
      <c r="I99" s="44">
        <v>376547.16000000003</v>
      </c>
      <c r="J99" s="43" t="s">
        <v>422</v>
      </c>
      <c r="K99" s="41" t="s">
        <v>58</v>
      </c>
      <c r="L99" s="41" t="s">
        <v>338</v>
      </c>
      <c r="M99" s="41" t="s">
        <v>30</v>
      </c>
      <c r="N99" s="41" t="s">
        <v>30</v>
      </c>
      <c r="O99" s="41" t="s">
        <v>95</v>
      </c>
      <c r="P99" s="41" t="s">
        <v>423</v>
      </c>
      <c r="Q99" s="41"/>
      <c r="R99" s="45">
        <v>45378</v>
      </c>
      <c r="S99" s="41" t="s">
        <v>43</v>
      </c>
      <c r="T99" s="41" t="s">
        <v>353</v>
      </c>
      <c r="U99" s="15"/>
    </row>
    <row r="100" spans="1:21" x14ac:dyDescent="0.25">
      <c r="A100" s="15"/>
      <c r="B100" s="34">
        <v>80</v>
      </c>
      <c r="C100" s="34" t="s">
        <v>21</v>
      </c>
      <c r="D100" s="35" t="s">
        <v>333</v>
      </c>
      <c r="E100" s="35">
        <v>3</v>
      </c>
      <c r="F100" s="34" t="s">
        <v>334</v>
      </c>
      <c r="G100" s="36" t="s">
        <v>335</v>
      </c>
      <c r="H100" s="37" t="s">
        <v>424</v>
      </c>
      <c r="I100" s="38">
        <v>181742.79759999999</v>
      </c>
      <c r="J100" s="37" t="s">
        <v>425</v>
      </c>
      <c r="K100" s="35" t="s">
        <v>58</v>
      </c>
      <c r="L100" s="35" t="s">
        <v>338</v>
      </c>
      <c r="M100" s="35" t="s">
        <v>29</v>
      </c>
      <c r="N100" s="35" t="s">
        <v>30</v>
      </c>
      <c r="O100" s="35" t="s">
        <v>49</v>
      </c>
      <c r="P100" s="35" t="s">
        <v>426</v>
      </c>
      <c r="Q100" s="34" t="s">
        <v>427</v>
      </c>
      <c r="R100" s="39">
        <v>45383</v>
      </c>
      <c r="S100" s="35" t="s">
        <v>43</v>
      </c>
      <c r="T100" s="35" t="s">
        <v>428</v>
      </c>
      <c r="U100" s="15"/>
    </row>
    <row r="101" spans="1:21" x14ac:dyDescent="0.25">
      <c r="A101" s="15"/>
      <c r="B101" s="40">
        <v>81</v>
      </c>
      <c r="C101" s="40" t="s">
        <v>21</v>
      </c>
      <c r="D101" s="41" t="s">
        <v>333</v>
      </c>
      <c r="E101" s="41">
        <v>3</v>
      </c>
      <c r="F101" s="40" t="s">
        <v>233</v>
      </c>
      <c r="G101" s="42" t="s">
        <v>335</v>
      </c>
      <c r="H101" s="43" t="s">
        <v>429</v>
      </c>
      <c r="I101" s="44">
        <v>81151.721999999994</v>
      </c>
      <c r="J101" s="43" t="s">
        <v>430</v>
      </c>
      <c r="K101" s="41" t="s">
        <v>58</v>
      </c>
      <c r="L101" s="41" t="s">
        <v>338</v>
      </c>
      <c r="M101" s="41" t="s">
        <v>29</v>
      </c>
      <c r="N101" s="41" t="s">
        <v>30</v>
      </c>
      <c r="O101" s="41" t="s">
        <v>49</v>
      </c>
      <c r="P101" s="41" t="s">
        <v>431</v>
      </c>
      <c r="Q101" s="41" t="s">
        <v>432</v>
      </c>
      <c r="R101" s="45" t="s">
        <v>58</v>
      </c>
      <c r="S101" s="41" t="s">
        <v>34</v>
      </c>
      <c r="T101" s="41" t="s">
        <v>353</v>
      </c>
      <c r="U101" s="15"/>
    </row>
    <row r="102" spans="1:21" x14ac:dyDescent="0.25">
      <c r="A102" s="15"/>
      <c r="B102" s="34">
        <v>82.1</v>
      </c>
      <c r="C102" s="34" t="s">
        <v>21</v>
      </c>
      <c r="D102" s="35" t="s">
        <v>333</v>
      </c>
      <c r="E102" s="35">
        <v>3</v>
      </c>
      <c r="F102" s="34" t="s">
        <v>396</v>
      </c>
      <c r="G102" s="36" t="s">
        <v>335</v>
      </c>
      <c r="H102" s="37" t="s">
        <v>433</v>
      </c>
      <c r="I102" s="38">
        <v>75600</v>
      </c>
      <c r="J102" s="37" t="s">
        <v>434</v>
      </c>
      <c r="K102" s="35" t="s">
        <v>58</v>
      </c>
      <c r="L102" s="35" t="s">
        <v>338</v>
      </c>
      <c r="M102" s="35" t="s">
        <v>29</v>
      </c>
      <c r="N102" s="35" t="s">
        <v>30</v>
      </c>
      <c r="O102" s="35" t="s">
        <v>49</v>
      </c>
      <c r="P102" s="35" t="s">
        <v>435</v>
      </c>
      <c r="Q102" s="34" t="s">
        <v>436</v>
      </c>
      <c r="R102" s="39" t="s">
        <v>58</v>
      </c>
      <c r="S102" s="35" t="s">
        <v>69</v>
      </c>
      <c r="T102" s="35" t="s">
        <v>437</v>
      </c>
      <c r="U102" s="15"/>
    </row>
    <row r="103" spans="1:21" x14ac:dyDescent="0.25">
      <c r="A103" s="15"/>
      <c r="B103" s="40">
        <v>82.2</v>
      </c>
      <c r="C103" s="40" t="s">
        <v>21</v>
      </c>
      <c r="D103" s="41" t="s">
        <v>333</v>
      </c>
      <c r="E103" s="41">
        <v>3</v>
      </c>
      <c r="F103" s="40" t="s">
        <v>396</v>
      </c>
      <c r="G103" s="42" t="s">
        <v>335</v>
      </c>
      <c r="H103" s="43" t="s">
        <v>438</v>
      </c>
      <c r="I103" s="44">
        <v>57510</v>
      </c>
      <c r="J103" s="43" t="s">
        <v>434</v>
      </c>
      <c r="K103" s="41" t="s">
        <v>58</v>
      </c>
      <c r="L103" s="41" t="s">
        <v>338</v>
      </c>
      <c r="M103" s="41" t="s">
        <v>30</v>
      </c>
      <c r="N103" s="41" t="s">
        <v>30</v>
      </c>
      <c r="O103" s="41" t="s">
        <v>95</v>
      </c>
      <c r="P103" s="41" t="s">
        <v>113</v>
      </c>
      <c r="Q103" s="41"/>
      <c r="R103" s="45">
        <v>45485</v>
      </c>
      <c r="S103" s="41" t="s">
        <v>69</v>
      </c>
      <c r="T103" s="41" t="s">
        <v>437</v>
      </c>
      <c r="U103" s="15"/>
    </row>
    <row r="104" spans="1:21" x14ac:dyDescent="0.25">
      <c r="A104" s="15"/>
      <c r="B104" s="34">
        <v>83</v>
      </c>
      <c r="C104" s="34" t="s">
        <v>21</v>
      </c>
      <c r="D104" s="35" t="s">
        <v>333</v>
      </c>
      <c r="E104" s="35">
        <v>3</v>
      </c>
      <c r="F104" s="34" t="s">
        <v>365</v>
      </c>
      <c r="G104" s="36" t="s">
        <v>335</v>
      </c>
      <c r="H104" s="37" t="s">
        <v>439</v>
      </c>
      <c r="I104" s="38">
        <v>126000</v>
      </c>
      <c r="J104" s="37" t="s">
        <v>440</v>
      </c>
      <c r="K104" s="35" t="s">
        <v>58</v>
      </c>
      <c r="L104" s="35" t="s">
        <v>338</v>
      </c>
      <c r="M104" s="35" t="s">
        <v>29</v>
      </c>
      <c r="N104" s="35" t="s">
        <v>30</v>
      </c>
      <c r="O104" s="35" t="s">
        <v>31</v>
      </c>
      <c r="P104" s="35" t="s">
        <v>441</v>
      </c>
      <c r="Q104" s="34" t="s">
        <v>442</v>
      </c>
      <c r="R104" s="39">
        <v>45390</v>
      </c>
      <c r="S104" s="35" t="s">
        <v>34</v>
      </c>
      <c r="T104" s="35" t="s">
        <v>379</v>
      </c>
      <c r="U104" s="15"/>
    </row>
    <row r="105" spans="1:21" x14ac:dyDescent="0.25">
      <c r="A105" s="15"/>
      <c r="B105" s="40">
        <v>84</v>
      </c>
      <c r="C105" s="40" t="s">
        <v>21</v>
      </c>
      <c r="D105" s="41" t="s">
        <v>333</v>
      </c>
      <c r="E105" s="41">
        <v>3</v>
      </c>
      <c r="F105" s="40" t="s">
        <v>359</v>
      </c>
      <c r="G105" s="42" t="s">
        <v>335</v>
      </c>
      <c r="H105" s="43" t="s">
        <v>443</v>
      </c>
      <c r="I105" s="44">
        <v>103944</v>
      </c>
      <c r="J105" s="43" t="s">
        <v>434</v>
      </c>
      <c r="K105" s="41" t="s">
        <v>58</v>
      </c>
      <c r="L105" s="41" t="s">
        <v>338</v>
      </c>
      <c r="M105" s="41" t="s">
        <v>29</v>
      </c>
      <c r="N105" s="41" t="s">
        <v>30</v>
      </c>
      <c r="O105" s="41" t="s">
        <v>95</v>
      </c>
      <c r="P105" s="41" t="s">
        <v>113</v>
      </c>
      <c r="Q105" s="41"/>
      <c r="R105" s="45">
        <v>45646</v>
      </c>
      <c r="S105" s="41" t="s">
        <v>69</v>
      </c>
      <c r="T105" s="41" t="s">
        <v>379</v>
      </c>
      <c r="U105" s="15"/>
    </row>
    <row r="106" spans="1:21" x14ac:dyDescent="0.25">
      <c r="A106" s="15"/>
      <c r="B106" s="34">
        <v>85.1</v>
      </c>
      <c r="C106" s="34" t="s">
        <v>21</v>
      </c>
      <c r="D106" s="35" t="s">
        <v>333</v>
      </c>
      <c r="E106" s="35">
        <v>3</v>
      </c>
      <c r="F106" s="34" t="s">
        <v>396</v>
      </c>
      <c r="G106" s="36" t="s">
        <v>335</v>
      </c>
      <c r="H106" s="37" t="s">
        <v>444</v>
      </c>
      <c r="I106" s="38">
        <v>4350</v>
      </c>
      <c r="J106" s="37" t="s">
        <v>434</v>
      </c>
      <c r="K106" s="35" t="s">
        <v>58</v>
      </c>
      <c r="L106" s="35" t="s">
        <v>338</v>
      </c>
      <c r="M106" s="35" t="s">
        <v>29</v>
      </c>
      <c r="N106" s="35" t="s">
        <v>30</v>
      </c>
      <c r="O106" s="35" t="s">
        <v>49</v>
      </c>
      <c r="P106" s="35" t="s">
        <v>445</v>
      </c>
      <c r="Q106" s="34" t="s">
        <v>446</v>
      </c>
      <c r="R106" s="39" t="s">
        <v>58</v>
      </c>
      <c r="S106" s="35" t="s">
        <v>69</v>
      </c>
      <c r="T106" s="35" t="s">
        <v>353</v>
      </c>
      <c r="U106" s="15"/>
    </row>
    <row r="107" spans="1:21" x14ac:dyDescent="0.25">
      <c r="A107" s="15"/>
      <c r="B107" s="40">
        <v>85.2</v>
      </c>
      <c r="C107" s="40" t="s">
        <v>21</v>
      </c>
      <c r="D107" s="41" t="s">
        <v>333</v>
      </c>
      <c r="E107" s="41">
        <v>3</v>
      </c>
      <c r="F107" s="40" t="s">
        <v>396</v>
      </c>
      <c r="G107" s="42" t="s">
        <v>335</v>
      </c>
      <c r="H107" s="43" t="s">
        <v>447</v>
      </c>
      <c r="I107" s="44">
        <v>50960.25</v>
      </c>
      <c r="J107" s="43" t="s">
        <v>434</v>
      </c>
      <c r="K107" s="41" t="s">
        <v>58</v>
      </c>
      <c r="L107" s="41" t="s">
        <v>338</v>
      </c>
      <c r="M107" s="41" t="s">
        <v>30</v>
      </c>
      <c r="N107" s="41" t="s">
        <v>30</v>
      </c>
      <c r="O107" s="41" t="s">
        <v>95</v>
      </c>
      <c r="P107" s="41" t="s">
        <v>113</v>
      </c>
      <c r="Q107" s="41"/>
      <c r="R107" s="45">
        <v>45524</v>
      </c>
      <c r="S107" s="41" t="s">
        <v>69</v>
      </c>
      <c r="T107" s="41" t="s">
        <v>353</v>
      </c>
      <c r="U107" s="15"/>
    </row>
    <row r="108" spans="1:21" x14ac:dyDescent="0.25">
      <c r="A108" s="15"/>
      <c r="B108" s="34"/>
      <c r="C108" s="34"/>
      <c r="D108" s="35"/>
      <c r="E108" s="35"/>
      <c r="F108" s="34"/>
      <c r="G108" s="36"/>
      <c r="H108" s="37" t="s">
        <v>76</v>
      </c>
      <c r="I108" s="38"/>
      <c r="J108" s="37"/>
      <c r="K108" s="35"/>
      <c r="L108" s="35"/>
      <c r="M108" s="35"/>
      <c r="N108" s="35"/>
      <c r="O108" s="35"/>
      <c r="P108" s="35"/>
      <c r="Q108" s="34"/>
      <c r="R108" s="39"/>
      <c r="S108" s="35"/>
      <c r="T108" s="35"/>
      <c r="U108" s="15"/>
    </row>
    <row r="109" spans="1:21" x14ac:dyDescent="0.25">
      <c r="A109" s="15"/>
      <c r="B109" s="99">
        <v>87.1</v>
      </c>
      <c r="C109" s="40" t="s">
        <v>21</v>
      </c>
      <c r="D109" s="41" t="s">
        <v>333</v>
      </c>
      <c r="E109" s="41">
        <v>3</v>
      </c>
      <c r="F109" s="40" t="s">
        <v>65</v>
      </c>
      <c r="G109" s="42" t="s">
        <v>335</v>
      </c>
      <c r="H109" s="43" t="s">
        <v>448</v>
      </c>
      <c r="I109" s="44">
        <v>8997</v>
      </c>
      <c r="J109" s="43" t="s">
        <v>449</v>
      </c>
      <c r="K109" s="41" t="s">
        <v>58</v>
      </c>
      <c r="L109" s="41" t="s">
        <v>40</v>
      </c>
      <c r="M109" s="41" t="s">
        <v>29</v>
      </c>
      <c r="N109" s="41" t="s">
        <v>30</v>
      </c>
      <c r="O109" s="41" t="s">
        <v>95</v>
      </c>
      <c r="P109" s="41" t="s">
        <v>388</v>
      </c>
      <c r="Q109" s="41"/>
      <c r="R109" s="45">
        <v>45445</v>
      </c>
      <c r="S109" s="41" t="s">
        <v>34</v>
      </c>
      <c r="T109" s="41" t="s">
        <v>450</v>
      </c>
      <c r="U109" s="15"/>
    </row>
    <row r="110" spans="1:21" x14ac:dyDescent="0.25">
      <c r="A110" s="15"/>
      <c r="B110" s="107">
        <v>87.2</v>
      </c>
      <c r="C110" s="105" t="s">
        <v>21</v>
      </c>
      <c r="D110" s="104" t="s">
        <v>333</v>
      </c>
      <c r="E110" s="105">
        <v>3</v>
      </c>
      <c r="F110" s="105" t="s">
        <v>65</v>
      </c>
      <c r="G110" s="108" t="s">
        <v>335</v>
      </c>
      <c r="H110" s="109" t="s">
        <v>448</v>
      </c>
      <c r="I110" s="102">
        <v>6660</v>
      </c>
      <c r="J110" s="109" t="s">
        <v>449</v>
      </c>
      <c r="K110" s="104" t="s">
        <v>58</v>
      </c>
      <c r="L110" s="104" t="s">
        <v>40</v>
      </c>
      <c r="M110" s="104" t="s">
        <v>29</v>
      </c>
      <c r="N110" s="104" t="s">
        <v>30</v>
      </c>
      <c r="O110" s="104" t="s">
        <v>95</v>
      </c>
      <c r="P110" s="104" t="s">
        <v>388</v>
      </c>
      <c r="Q110" s="104"/>
      <c r="R110" s="110">
        <v>45445</v>
      </c>
      <c r="S110" s="104" t="s">
        <v>34</v>
      </c>
      <c r="T110" s="104" t="s">
        <v>450</v>
      </c>
      <c r="U110" s="15"/>
    </row>
    <row r="111" spans="1:21" x14ac:dyDescent="0.25">
      <c r="A111" s="15"/>
      <c r="B111" s="99">
        <v>88</v>
      </c>
      <c r="C111" s="34" t="s">
        <v>21</v>
      </c>
      <c r="D111" s="35" t="s">
        <v>333</v>
      </c>
      <c r="E111" s="35">
        <v>3</v>
      </c>
      <c r="F111" s="34" t="s">
        <v>403</v>
      </c>
      <c r="G111" s="36" t="s">
        <v>335</v>
      </c>
      <c r="H111" s="37" t="s">
        <v>451</v>
      </c>
      <c r="I111" s="100">
        <v>33685.388550000003</v>
      </c>
      <c r="J111" s="37" t="s">
        <v>452</v>
      </c>
      <c r="K111" s="35" t="s">
        <v>58</v>
      </c>
      <c r="L111" s="35" t="s">
        <v>338</v>
      </c>
      <c r="M111" s="35" t="s">
        <v>29</v>
      </c>
      <c r="N111" s="35" t="s">
        <v>30</v>
      </c>
      <c r="O111" s="35" t="s">
        <v>31</v>
      </c>
      <c r="P111" s="35" t="s">
        <v>453</v>
      </c>
      <c r="Q111" s="34" t="s">
        <v>454</v>
      </c>
      <c r="R111" s="39">
        <v>45377</v>
      </c>
      <c r="S111" s="35" t="s">
        <v>34</v>
      </c>
      <c r="T111" s="35" t="s">
        <v>455</v>
      </c>
      <c r="U111" s="15"/>
    </row>
    <row r="112" spans="1:21" x14ac:dyDescent="0.25">
      <c r="A112" s="15"/>
      <c r="B112" s="40"/>
      <c r="C112" s="40"/>
      <c r="D112" s="41"/>
      <c r="E112" s="41"/>
      <c r="F112" s="40"/>
      <c r="G112" s="42"/>
      <c r="H112" s="133" t="s">
        <v>76</v>
      </c>
      <c r="I112" s="44"/>
      <c r="J112" s="43"/>
      <c r="K112" s="41"/>
      <c r="L112" s="41"/>
      <c r="M112" s="41"/>
      <c r="N112" s="41"/>
      <c r="O112" s="41"/>
      <c r="P112" s="41"/>
      <c r="Q112" s="41"/>
      <c r="R112" s="45"/>
      <c r="S112" s="41"/>
      <c r="T112" s="41"/>
      <c r="U112" s="15"/>
    </row>
    <row r="113" spans="1:21" x14ac:dyDescent="0.25">
      <c r="A113" s="15"/>
      <c r="B113" s="99">
        <v>89</v>
      </c>
      <c r="C113" s="34" t="s">
        <v>21</v>
      </c>
      <c r="D113" s="35" t="s">
        <v>333</v>
      </c>
      <c r="E113" s="35">
        <v>3</v>
      </c>
      <c r="F113" s="34" t="s">
        <v>403</v>
      </c>
      <c r="G113" s="36" t="s">
        <v>335</v>
      </c>
      <c r="H113" s="37" t="s">
        <v>456</v>
      </c>
      <c r="I113" s="100">
        <v>33161.097450000001</v>
      </c>
      <c r="J113" s="37" t="s">
        <v>452</v>
      </c>
      <c r="K113" s="35" t="s">
        <v>58</v>
      </c>
      <c r="L113" s="35" t="s">
        <v>338</v>
      </c>
      <c r="M113" s="35" t="s">
        <v>29</v>
      </c>
      <c r="N113" s="35" t="s">
        <v>30</v>
      </c>
      <c r="O113" s="35" t="s">
        <v>31</v>
      </c>
      <c r="P113" s="35" t="s">
        <v>457</v>
      </c>
      <c r="Q113" s="34" t="s">
        <v>458</v>
      </c>
      <c r="R113" s="39">
        <v>45377</v>
      </c>
      <c r="S113" s="35" t="s">
        <v>34</v>
      </c>
      <c r="T113" s="35" t="s">
        <v>455</v>
      </c>
      <c r="U113" s="15"/>
    </row>
    <row r="114" spans="1:21" x14ac:dyDescent="0.25">
      <c r="A114" s="15"/>
      <c r="B114" s="40"/>
      <c r="C114" s="40"/>
      <c r="D114" s="41"/>
      <c r="E114" s="41"/>
      <c r="F114" s="40"/>
      <c r="G114" s="42"/>
      <c r="H114" s="133" t="s">
        <v>76</v>
      </c>
      <c r="I114" s="44"/>
      <c r="J114" s="43"/>
      <c r="K114" s="41"/>
      <c r="L114" s="41"/>
      <c r="M114" s="41"/>
      <c r="N114" s="41"/>
      <c r="O114" s="41"/>
      <c r="P114" s="41"/>
      <c r="Q114" s="41"/>
      <c r="R114" s="45"/>
      <c r="S114" s="41"/>
      <c r="T114" s="41"/>
      <c r="U114" s="15"/>
    </row>
    <row r="115" spans="1:21" x14ac:dyDescent="0.25">
      <c r="A115" s="15"/>
      <c r="B115" s="34">
        <v>90</v>
      </c>
      <c r="C115" s="34" t="s">
        <v>21</v>
      </c>
      <c r="D115" s="35" t="s">
        <v>333</v>
      </c>
      <c r="E115" s="35">
        <v>3</v>
      </c>
      <c r="F115" s="34" t="s">
        <v>396</v>
      </c>
      <c r="G115" s="36" t="s">
        <v>335</v>
      </c>
      <c r="H115" s="37" t="s">
        <v>459</v>
      </c>
      <c r="I115" s="38">
        <v>28457.04495</v>
      </c>
      <c r="J115" s="37" t="s">
        <v>460</v>
      </c>
      <c r="K115" s="35" t="s">
        <v>58</v>
      </c>
      <c r="L115" s="35" t="s">
        <v>40</v>
      </c>
      <c r="M115" s="35" t="s">
        <v>30</v>
      </c>
      <c r="N115" s="35" t="s">
        <v>30</v>
      </c>
      <c r="O115" s="35" t="s">
        <v>95</v>
      </c>
      <c r="P115" s="35" t="s">
        <v>113</v>
      </c>
      <c r="Q115" s="34"/>
      <c r="R115" s="39">
        <v>45627</v>
      </c>
      <c r="S115" s="35" t="s">
        <v>34</v>
      </c>
      <c r="T115" s="35" t="s">
        <v>461</v>
      </c>
      <c r="U115" s="15"/>
    </row>
    <row r="116" spans="1:21" x14ac:dyDescent="0.25">
      <c r="A116" s="15"/>
      <c r="B116" s="40">
        <v>91</v>
      </c>
      <c r="C116" s="40" t="s">
        <v>21</v>
      </c>
      <c r="D116" s="41" t="s">
        <v>333</v>
      </c>
      <c r="E116" s="41">
        <v>4</v>
      </c>
      <c r="F116" s="40" t="s">
        <v>462</v>
      </c>
      <c r="G116" s="42" t="s">
        <v>335</v>
      </c>
      <c r="H116" s="43" t="s">
        <v>463</v>
      </c>
      <c r="I116" s="44">
        <v>1625000</v>
      </c>
      <c r="J116" s="43" t="s">
        <v>464</v>
      </c>
      <c r="K116" s="41" t="s">
        <v>58</v>
      </c>
      <c r="L116" s="41" t="s">
        <v>338</v>
      </c>
      <c r="M116" s="41" t="s">
        <v>30</v>
      </c>
      <c r="N116" s="41" t="s">
        <v>29</v>
      </c>
      <c r="O116" s="41" t="s">
        <v>95</v>
      </c>
      <c r="P116" s="41" t="s">
        <v>113</v>
      </c>
      <c r="Q116" s="41"/>
      <c r="R116" s="45">
        <v>45444</v>
      </c>
      <c r="S116" s="41" t="s">
        <v>69</v>
      </c>
      <c r="T116" s="41" t="s">
        <v>465</v>
      </c>
      <c r="U116" s="15"/>
    </row>
    <row r="117" spans="1:21" x14ac:dyDescent="0.25">
      <c r="A117" s="15"/>
      <c r="B117" s="34">
        <v>92</v>
      </c>
      <c r="C117" s="34" t="s">
        <v>21</v>
      </c>
      <c r="D117" s="35" t="s">
        <v>333</v>
      </c>
      <c r="E117" s="107">
        <v>3</v>
      </c>
      <c r="F117" s="34"/>
      <c r="G117" s="36" t="s">
        <v>335</v>
      </c>
      <c r="H117" s="37" t="s">
        <v>466</v>
      </c>
      <c r="I117" s="38">
        <v>1500000</v>
      </c>
      <c r="J117" s="37" t="s">
        <v>467</v>
      </c>
      <c r="K117" s="35" t="s">
        <v>58</v>
      </c>
      <c r="L117" s="35" t="s">
        <v>338</v>
      </c>
      <c r="M117" s="35" t="s">
        <v>30</v>
      </c>
      <c r="N117" s="35" t="s">
        <v>30</v>
      </c>
      <c r="O117" s="35" t="s">
        <v>95</v>
      </c>
      <c r="P117" s="35" t="s">
        <v>468</v>
      </c>
      <c r="Q117" s="34"/>
      <c r="R117" s="39">
        <v>45444</v>
      </c>
      <c r="S117" s="35" t="s">
        <v>69</v>
      </c>
      <c r="T117" s="35" t="s">
        <v>469</v>
      </c>
      <c r="U117" s="15"/>
    </row>
    <row r="118" spans="1:21" x14ac:dyDescent="0.25">
      <c r="A118" s="15"/>
      <c r="B118" s="40">
        <v>93</v>
      </c>
      <c r="C118" s="40" t="s">
        <v>21</v>
      </c>
      <c r="D118" s="41" t="s">
        <v>333</v>
      </c>
      <c r="E118" s="41">
        <v>3</v>
      </c>
      <c r="F118" s="40" t="s">
        <v>342</v>
      </c>
      <c r="G118" s="42" t="s">
        <v>335</v>
      </c>
      <c r="H118" s="43" t="s">
        <v>470</v>
      </c>
      <c r="I118" s="44">
        <v>120000</v>
      </c>
      <c r="J118" s="43" t="s">
        <v>471</v>
      </c>
      <c r="K118" s="41" t="s">
        <v>58</v>
      </c>
      <c r="L118" s="41" t="s">
        <v>40</v>
      </c>
      <c r="M118" s="41" t="s">
        <v>29</v>
      </c>
      <c r="N118" s="41" t="s">
        <v>30</v>
      </c>
      <c r="O118" s="41" t="s">
        <v>58</v>
      </c>
      <c r="P118" s="41" t="s">
        <v>472</v>
      </c>
      <c r="Q118" s="41" t="s">
        <v>473</v>
      </c>
      <c r="R118" s="45" t="s">
        <v>58</v>
      </c>
      <c r="S118" s="41" t="s">
        <v>58</v>
      </c>
      <c r="T118" s="41" t="s">
        <v>389</v>
      </c>
      <c r="U118" s="15"/>
    </row>
    <row r="119" spans="1:21" x14ac:dyDescent="0.25">
      <c r="A119" s="15"/>
      <c r="B119" s="34">
        <v>94</v>
      </c>
      <c r="C119" s="34" t="s">
        <v>21</v>
      </c>
      <c r="D119" s="35" t="s">
        <v>333</v>
      </c>
      <c r="E119" s="35">
        <v>3</v>
      </c>
      <c r="F119" s="34" t="s">
        <v>474</v>
      </c>
      <c r="G119" s="36" t="s">
        <v>335</v>
      </c>
      <c r="H119" s="37" t="s">
        <v>475</v>
      </c>
      <c r="I119" s="101">
        <f xml:space="preserve"> (11985159.6/20*12)</f>
        <v>7191095.7599999998</v>
      </c>
      <c r="J119" s="37" t="s">
        <v>476</v>
      </c>
      <c r="K119" s="35" t="s">
        <v>58</v>
      </c>
      <c r="L119" s="35" t="s">
        <v>338</v>
      </c>
      <c r="M119" s="35" t="s">
        <v>29</v>
      </c>
      <c r="N119" s="35" t="s">
        <v>30</v>
      </c>
      <c r="O119" s="35" t="s">
        <v>49</v>
      </c>
      <c r="P119" s="35" t="s">
        <v>477</v>
      </c>
      <c r="Q119" s="34" t="s">
        <v>478</v>
      </c>
      <c r="R119" s="39">
        <v>45575</v>
      </c>
      <c r="S119" s="35" t="s">
        <v>43</v>
      </c>
      <c r="T119" s="35" t="s">
        <v>417</v>
      </c>
      <c r="U119" s="15"/>
    </row>
    <row r="120" spans="1:21" x14ac:dyDescent="0.25">
      <c r="A120" s="15"/>
      <c r="B120" s="40">
        <v>95</v>
      </c>
      <c r="C120" s="40" t="s">
        <v>21</v>
      </c>
      <c r="D120" s="41" t="s">
        <v>333</v>
      </c>
      <c r="E120" s="41">
        <v>3</v>
      </c>
      <c r="F120" s="40" t="s">
        <v>365</v>
      </c>
      <c r="G120" s="42" t="s">
        <v>335</v>
      </c>
      <c r="H120" s="43" t="s">
        <v>479</v>
      </c>
      <c r="I120" s="44">
        <v>781992.21434999991</v>
      </c>
      <c r="J120" s="43" t="s">
        <v>480</v>
      </c>
      <c r="K120" s="41" t="s">
        <v>58</v>
      </c>
      <c r="L120" s="41" t="s">
        <v>338</v>
      </c>
      <c r="M120" s="41" t="s">
        <v>30</v>
      </c>
      <c r="N120" s="41" t="s">
        <v>30</v>
      </c>
      <c r="O120" s="41" t="s">
        <v>95</v>
      </c>
      <c r="P120" s="41" t="s">
        <v>113</v>
      </c>
      <c r="Q120" s="41"/>
      <c r="R120" s="45">
        <v>45471</v>
      </c>
      <c r="S120" s="41" t="s">
        <v>34</v>
      </c>
      <c r="T120" s="41" t="s">
        <v>379</v>
      </c>
      <c r="U120" s="15"/>
    </row>
    <row r="121" spans="1:21" x14ac:dyDescent="0.25">
      <c r="A121" s="15"/>
      <c r="B121" s="34">
        <v>96</v>
      </c>
      <c r="C121" s="34" t="s">
        <v>21</v>
      </c>
      <c r="D121" s="35" t="s">
        <v>333</v>
      </c>
      <c r="E121" s="35">
        <v>3</v>
      </c>
      <c r="F121" s="34" t="s">
        <v>365</v>
      </c>
      <c r="G121" s="36" t="s">
        <v>335</v>
      </c>
      <c r="H121" s="37" t="s">
        <v>481</v>
      </c>
      <c r="I121" s="38">
        <v>170400</v>
      </c>
      <c r="J121" s="37" t="s">
        <v>480</v>
      </c>
      <c r="K121" s="35" t="s">
        <v>58</v>
      </c>
      <c r="L121" s="35" t="s">
        <v>338</v>
      </c>
      <c r="M121" s="35" t="s">
        <v>30</v>
      </c>
      <c r="N121" s="35" t="s">
        <v>30</v>
      </c>
      <c r="O121" s="35" t="s">
        <v>95</v>
      </c>
      <c r="P121" s="35" t="s">
        <v>113</v>
      </c>
      <c r="Q121" s="34"/>
      <c r="R121" s="39">
        <v>45471</v>
      </c>
      <c r="S121" s="35" t="s">
        <v>34</v>
      </c>
      <c r="T121" s="35" t="s">
        <v>379</v>
      </c>
      <c r="U121" s="15"/>
    </row>
    <row r="122" spans="1:21" x14ac:dyDescent="0.25">
      <c r="A122" s="15"/>
      <c r="B122" s="40">
        <v>97</v>
      </c>
      <c r="C122" s="40" t="s">
        <v>21</v>
      </c>
      <c r="D122" s="41" t="s">
        <v>333</v>
      </c>
      <c r="E122" s="41">
        <v>3</v>
      </c>
      <c r="F122" s="40" t="s">
        <v>365</v>
      </c>
      <c r="G122" s="42" t="s">
        <v>335</v>
      </c>
      <c r="H122" s="43" t="s">
        <v>482</v>
      </c>
      <c r="I122" s="44">
        <v>500000</v>
      </c>
      <c r="J122" s="43" t="s">
        <v>483</v>
      </c>
      <c r="K122" s="41" t="s">
        <v>58</v>
      </c>
      <c r="L122" s="41" t="s">
        <v>338</v>
      </c>
      <c r="M122" s="41" t="s">
        <v>30</v>
      </c>
      <c r="N122" s="41" t="s">
        <v>30</v>
      </c>
      <c r="O122" s="41" t="s">
        <v>95</v>
      </c>
      <c r="P122" s="41" t="s">
        <v>113</v>
      </c>
      <c r="Q122" s="41"/>
      <c r="R122" s="45">
        <v>45483</v>
      </c>
      <c r="S122" s="41" t="s">
        <v>69</v>
      </c>
      <c r="T122" s="41" t="s">
        <v>379</v>
      </c>
      <c r="U122" s="15"/>
    </row>
    <row r="123" spans="1:21" x14ac:dyDescent="0.25">
      <c r="A123" s="15"/>
      <c r="B123" s="34">
        <v>98</v>
      </c>
      <c r="C123" s="34" t="s">
        <v>21</v>
      </c>
      <c r="D123" s="35" t="s">
        <v>333</v>
      </c>
      <c r="E123" s="35">
        <v>3</v>
      </c>
      <c r="F123" s="34" t="s">
        <v>365</v>
      </c>
      <c r="G123" s="36" t="s">
        <v>335</v>
      </c>
      <c r="H123" s="37" t="s">
        <v>484</v>
      </c>
      <c r="I123" s="38">
        <v>115949.16000000002</v>
      </c>
      <c r="J123" s="37" t="s">
        <v>485</v>
      </c>
      <c r="K123" s="35" t="s">
        <v>58</v>
      </c>
      <c r="L123" s="35" t="s">
        <v>338</v>
      </c>
      <c r="M123" s="35" t="s">
        <v>30</v>
      </c>
      <c r="N123" s="35" t="s">
        <v>30</v>
      </c>
      <c r="O123" s="35" t="s">
        <v>95</v>
      </c>
      <c r="P123" s="35" t="s">
        <v>113</v>
      </c>
      <c r="Q123" s="34"/>
      <c r="R123" s="39">
        <v>45483</v>
      </c>
      <c r="S123" s="35" t="s">
        <v>34</v>
      </c>
      <c r="T123" s="35" t="s">
        <v>379</v>
      </c>
      <c r="U123" s="15"/>
    </row>
    <row r="124" spans="1:21" x14ac:dyDescent="0.25">
      <c r="A124" s="15"/>
      <c r="B124" s="40">
        <v>99</v>
      </c>
      <c r="C124" s="40" t="s">
        <v>21</v>
      </c>
      <c r="D124" s="41" t="s">
        <v>333</v>
      </c>
      <c r="E124" s="41">
        <v>4</v>
      </c>
      <c r="F124" s="40" t="s">
        <v>486</v>
      </c>
      <c r="G124" s="42" t="s">
        <v>335</v>
      </c>
      <c r="H124" s="43" t="s">
        <v>487</v>
      </c>
      <c r="I124" s="44">
        <v>112000</v>
      </c>
      <c r="J124" s="43" t="s">
        <v>488</v>
      </c>
      <c r="K124" s="41" t="s">
        <v>58</v>
      </c>
      <c r="L124" s="41" t="s">
        <v>338</v>
      </c>
      <c r="M124" s="41" t="s">
        <v>30</v>
      </c>
      <c r="N124" s="41" t="s">
        <v>30</v>
      </c>
      <c r="O124" s="41" t="s">
        <v>95</v>
      </c>
      <c r="P124" s="41" t="s">
        <v>113</v>
      </c>
      <c r="Q124" s="41"/>
      <c r="R124" s="45">
        <v>45483</v>
      </c>
      <c r="S124" s="41" t="s">
        <v>34</v>
      </c>
      <c r="T124" s="41" t="s">
        <v>489</v>
      </c>
      <c r="U124" s="15"/>
    </row>
    <row r="125" spans="1:21" x14ac:dyDescent="0.25">
      <c r="A125" s="15"/>
      <c r="B125" s="106"/>
      <c r="C125" s="106"/>
      <c r="D125" s="118"/>
      <c r="E125" s="106"/>
      <c r="F125" s="106"/>
      <c r="G125" s="119"/>
      <c r="H125" s="123" t="s">
        <v>490</v>
      </c>
      <c r="I125" s="121"/>
      <c r="J125" s="120"/>
      <c r="K125" s="118"/>
      <c r="L125" s="118"/>
      <c r="M125" s="118"/>
      <c r="N125" s="118"/>
      <c r="O125" s="118"/>
      <c r="P125" s="118"/>
      <c r="Q125" s="106"/>
      <c r="R125" s="122"/>
      <c r="S125" s="118"/>
      <c r="T125" s="118"/>
      <c r="U125" s="15"/>
    </row>
    <row r="126" spans="1:21" x14ac:dyDescent="0.25">
      <c r="A126" s="15"/>
      <c r="B126" s="40">
        <v>101</v>
      </c>
      <c r="C126" s="40" t="s">
        <v>21</v>
      </c>
      <c r="D126" s="41" t="s">
        <v>491</v>
      </c>
      <c r="E126" s="41">
        <v>3</v>
      </c>
      <c r="F126" s="40" t="s">
        <v>334</v>
      </c>
      <c r="G126" s="42" t="s">
        <v>335</v>
      </c>
      <c r="H126" s="43" t="s">
        <v>492</v>
      </c>
      <c r="I126" s="100">
        <f>1709062.87-1251807.77+47.1</f>
        <v>457302.20000000007</v>
      </c>
      <c r="J126" s="43" t="s">
        <v>493</v>
      </c>
      <c r="K126" s="41" t="s">
        <v>58</v>
      </c>
      <c r="L126" s="41" t="s">
        <v>338</v>
      </c>
      <c r="M126" s="41" t="s">
        <v>30</v>
      </c>
      <c r="N126" s="41" t="s">
        <v>30</v>
      </c>
      <c r="O126" s="41" t="s">
        <v>95</v>
      </c>
      <c r="P126" s="41" t="s">
        <v>113</v>
      </c>
      <c r="Q126" s="41"/>
      <c r="R126" s="45">
        <v>45585</v>
      </c>
      <c r="S126" s="41" t="s">
        <v>43</v>
      </c>
      <c r="T126" s="41" t="s">
        <v>494</v>
      </c>
      <c r="U126" s="15"/>
    </row>
    <row r="127" spans="1:21" x14ac:dyDescent="0.25">
      <c r="A127" s="15"/>
      <c r="B127" s="34">
        <v>102.1</v>
      </c>
      <c r="C127" s="34" t="s">
        <v>21</v>
      </c>
      <c r="D127" s="35" t="s">
        <v>491</v>
      </c>
      <c r="E127" s="35">
        <v>3</v>
      </c>
      <c r="F127" s="34" t="s">
        <v>359</v>
      </c>
      <c r="G127" s="36" t="s">
        <v>335</v>
      </c>
      <c r="H127" s="37" t="s">
        <v>495</v>
      </c>
      <c r="I127" s="38">
        <f>257700+491300</f>
        <v>749000</v>
      </c>
      <c r="J127" s="37" t="s">
        <v>496</v>
      </c>
      <c r="K127" s="35" t="s">
        <v>58</v>
      </c>
      <c r="L127" s="35" t="s">
        <v>338</v>
      </c>
      <c r="M127" s="35" t="s">
        <v>29</v>
      </c>
      <c r="N127" s="35" t="s">
        <v>30</v>
      </c>
      <c r="O127" s="35" t="s">
        <v>49</v>
      </c>
      <c r="P127" s="35" t="s">
        <v>497</v>
      </c>
      <c r="Q127" s="34" t="s">
        <v>498</v>
      </c>
      <c r="R127" s="39" t="s">
        <v>58</v>
      </c>
      <c r="S127" s="35" t="s">
        <v>43</v>
      </c>
      <c r="T127" s="35" t="s">
        <v>494</v>
      </c>
      <c r="U127" s="15"/>
    </row>
    <row r="128" spans="1:21" x14ac:dyDescent="0.25">
      <c r="A128" s="15"/>
      <c r="B128" s="40">
        <v>102.2</v>
      </c>
      <c r="C128" s="40" t="s">
        <v>21</v>
      </c>
      <c r="D128" s="41" t="s">
        <v>491</v>
      </c>
      <c r="E128" s="41">
        <v>3</v>
      </c>
      <c r="F128" s="40" t="s">
        <v>359</v>
      </c>
      <c r="G128" s="42" t="s">
        <v>335</v>
      </c>
      <c r="H128" s="43" t="s">
        <v>499</v>
      </c>
      <c r="I128" s="44">
        <f>823351.5-491300</f>
        <v>332051.5</v>
      </c>
      <c r="J128" s="43" t="s">
        <v>496</v>
      </c>
      <c r="K128" s="41" t="s">
        <v>58</v>
      </c>
      <c r="L128" s="41" t="s">
        <v>338</v>
      </c>
      <c r="M128" s="41" t="s">
        <v>30</v>
      </c>
      <c r="N128" s="41" t="s">
        <v>30</v>
      </c>
      <c r="O128" s="41" t="s">
        <v>95</v>
      </c>
      <c r="P128" s="41" t="s">
        <v>113</v>
      </c>
      <c r="Q128" s="41"/>
      <c r="R128" s="45">
        <v>45371</v>
      </c>
      <c r="S128" s="41" t="s">
        <v>43</v>
      </c>
      <c r="T128" s="41" t="s">
        <v>494</v>
      </c>
      <c r="U128" s="15"/>
    </row>
    <row r="129" spans="1:21" x14ac:dyDescent="0.25">
      <c r="A129" s="15"/>
      <c r="B129" s="34">
        <v>103.1</v>
      </c>
      <c r="C129" s="34" t="s">
        <v>21</v>
      </c>
      <c r="D129" s="35" t="s">
        <v>491</v>
      </c>
      <c r="E129" s="35">
        <v>3</v>
      </c>
      <c r="F129" s="34" t="s">
        <v>334</v>
      </c>
      <c r="G129" s="36" t="s">
        <v>335</v>
      </c>
      <c r="H129" s="37" t="s">
        <v>500</v>
      </c>
      <c r="I129" s="38">
        <f>86401.62+342038.38</f>
        <v>428440</v>
      </c>
      <c r="J129" s="37" t="s">
        <v>501</v>
      </c>
      <c r="K129" s="35" t="s">
        <v>58</v>
      </c>
      <c r="L129" s="35" t="s">
        <v>338</v>
      </c>
      <c r="M129" s="35" t="s">
        <v>29</v>
      </c>
      <c r="N129" s="35" t="s">
        <v>30</v>
      </c>
      <c r="O129" s="35" t="s">
        <v>49</v>
      </c>
      <c r="P129" s="35" t="s">
        <v>502</v>
      </c>
      <c r="Q129" s="34" t="s">
        <v>503</v>
      </c>
      <c r="R129" s="39">
        <v>45325</v>
      </c>
      <c r="S129" s="35" t="s">
        <v>43</v>
      </c>
      <c r="T129" s="35" t="s">
        <v>353</v>
      </c>
      <c r="U129" s="15"/>
    </row>
    <row r="130" spans="1:21" x14ac:dyDescent="0.25">
      <c r="A130" s="15"/>
      <c r="B130" s="40">
        <v>103.2</v>
      </c>
      <c r="C130" s="40" t="s">
        <v>21</v>
      </c>
      <c r="D130" s="41" t="s">
        <v>491</v>
      </c>
      <c r="E130" s="41">
        <v>3</v>
      </c>
      <c r="F130" s="40" t="s">
        <v>334</v>
      </c>
      <c r="G130" s="42" t="s">
        <v>335</v>
      </c>
      <c r="H130" s="43" t="s">
        <v>504</v>
      </c>
      <c r="I130" s="44">
        <f>456554.61-342038.38</f>
        <v>114516.22999999998</v>
      </c>
      <c r="J130" s="43" t="s">
        <v>501</v>
      </c>
      <c r="K130" s="41" t="s">
        <v>58</v>
      </c>
      <c r="L130" s="41" t="s">
        <v>338</v>
      </c>
      <c r="M130" s="41" t="s">
        <v>30</v>
      </c>
      <c r="N130" s="41" t="s">
        <v>30</v>
      </c>
      <c r="O130" s="41" t="s">
        <v>95</v>
      </c>
      <c r="P130" s="41" t="s">
        <v>113</v>
      </c>
      <c r="Q130" s="41"/>
      <c r="R130" s="45">
        <v>45325</v>
      </c>
      <c r="S130" s="41" t="s">
        <v>43</v>
      </c>
      <c r="T130" s="41" t="s">
        <v>353</v>
      </c>
      <c r="U130" s="15"/>
    </row>
    <row r="131" spans="1:21" x14ac:dyDescent="0.25">
      <c r="A131" s="15"/>
      <c r="B131" s="34">
        <v>104.1</v>
      </c>
      <c r="C131" s="34" t="s">
        <v>21</v>
      </c>
      <c r="D131" s="35" t="s">
        <v>491</v>
      </c>
      <c r="E131" s="86">
        <v>3</v>
      </c>
      <c r="F131" s="34" t="s">
        <v>396</v>
      </c>
      <c r="G131" s="36" t="s">
        <v>335</v>
      </c>
      <c r="H131" s="37" t="s">
        <v>505</v>
      </c>
      <c r="I131" s="38">
        <v>264620.51</v>
      </c>
      <c r="J131" s="37" t="s">
        <v>506</v>
      </c>
      <c r="K131" s="35" t="s">
        <v>58</v>
      </c>
      <c r="L131" s="35" t="s">
        <v>338</v>
      </c>
      <c r="M131" s="35" t="s">
        <v>29</v>
      </c>
      <c r="N131" s="35" t="s">
        <v>30</v>
      </c>
      <c r="O131" s="35" t="s">
        <v>31</v>
      </c>
      <c r="P131" s="35" t="s">
        <v>507</v>
      </c>
      <c r="Q131" s="34" t="s">
        <v>508</v>
      </c>
      <c r="R131" s="39">
        <v>45499</v>
      </c>
      <c r="S131" s="35" t="s">
        <v>43</v>
      </c>
      <c r="T131" s="35" t="s">
        <v>353</v>
      </c>
      <c r="U131" s="15"/>
    </row>
    <row r="132" spans="1:21" x14ac:dyDescent="0.25">
      <c r="A132" s="15"/>
      <c r="B132" s="40">
        <v>104.2</v>
      </c>
      <c r="C132" s="40" t="s">
        <v>21</v>
      </c>
      <c r="D132" s="41" t="s">
        <v>491</v>
      </c>
      <c r="E132" s="86">
        <v>3</v>
      </c>
      <c r="F132" s="40" t="s">
        <v>396</v>
      </c>
      <c r="G132" s="42" t="s">
        <v>335</v>
      </c>
      <c r="H132" s="43" t="s">
        <v>509</v>
      </c>
      <c r="I132" s="44">
        <v>25620.080000000002</v>
      </c>
      <c r="J132" s="43" t="s">
        <v>506</v>
      </c>
      <c r="K132" s="41" t="s">
        <v>58</v>
      </c>
      <c r="L132" s="41" t="s">
        <v>338</v>
      </c>
      <c r="M132" s="41" t="s">
        <v>30</v>
      </c>
      <c r="N132" s="41" t="s">
        <v>30</v>
      </c>
      <c r="O132" s="41" t="s">
        <v>95</v>
      </c>
      <c r="P132" s="41" t="s">
        <v>113</v>
      </c>
      <c r="Q132" s="41"/>
      <c r="R132" s="45">
        <v>45623</v>
      </c>
      <c r="S132" s="41" t="s">
        <v>43</v>
      </c>
      <c r="T132" s="41" t="s">
        <v>353</v>
      </c>
      <c r="U132" s="15"/>
    </row>
    <row r="133" spans="1:21" x14ac:dyDescent="0.25">
      <c r="A133" s="15"/>
      <c r="B133" s="34">
        <v>105</v>
      </c>
      <c r="C133" s="34" t="s">
        <v>21</v>
      </c>
      <c r="D133" s="35" t="s">
        <v>491</v>
      </c>
      <c r="E133" s="35">
        <v>3</v>
      </c>
      <c r="F133" s="34" t="s">
        <v>380</v>
      </c>
      <c r="G133" s="36" t="s">
        <v>335</v>
      </c>
      <c r="H133" s="37" t="s">
        <v>510</v>
      </c>
      <c r="I133" s="38">
        <v>200000</v>
      </c>
      <c r="J133" s="37" t="s">
        <v>511</v>
      </c>
      <c r="K133" s="35" t="s">
        <v>58</v>
      </c>
      <c r="L133" s="35" t="s">
        <v>338</v>
      </c>
      <c r="M133" s="35" t="s">
        <v>29</v>
      </c>
      <c r="N133" s="35" t="s">
        <v>30</v>
      </c>
      <c r="O133" s="35" t="s">
        <v>95</v>
      </c>
      <c r="P133" s="35" t="s">
        <v>113</v>
      </c>
      <c r="Q133" s="34"/>
      <c r="R133" s="39">
        <v>45593</v>
      </c>
      <c r="S133" s="35" t="s">
        <v>43</v>
      </c>
      <c r="T133" s="35" t="s">
        <v>353</v>
      </c>
      <c r="U133" s="15"/>
    </row>
    <row r="134" spans="1:21" x14ac:dyDescent="0.25">
      <c r="A134" s="15"/>
      <c r="B134" s="40">
        <v>106</v>
      </c>
      <c r="C134" s="40" t="s">
        <v>21</v>
      </c>
      <c r="D134" s="41" t="s">
        <v>491</v>
      </c>
      <c r="E134" s="40">
        <v>3</v>
      </c>
      <c r="F134" s="40" t="s">
        <v>359</v>
      </c>
      <c r="G134" s="42" t="s">
        <v>335</v>
      </c>
      <c r="H134" s="43" t="s">
        <v>512</v>
      </c>
      <c r="I134" s="44">
        <v>30672</v>
      </c>
      <c r="J134" s="43" t="s">
        <v>511</v>
      </c>
      <c r="K134" s="41" t="s">
        <v>58</v>
      </c>
      <c r="L134" s="41" t="s">
        <v>338</v>
      </c>
      <c r="M134" s="41" t="s">
        <v>29</v>
      </c>
      <c r="N134" s="41" t="s">
        <v>30</v>
      </c>
      <c r="O134" s="41" t="s">
        <v>49</v>
      </c>
      <c r="P134" s="41" t="s">
        <v>513</v>
      </c>
      <c r="Q134" s="41" t="s">
        <v>514</v>
      </c>
      <c r="R134" s="45" t="s">
        <v>58</v>
      </c>
      <c r="S134" s="41" t="s">
        <v>43</v>
      </c>
      <c r="T134" s="41" t="s">
        <v>353</v>
      </c>
      <c r="U134" s="15"/>
    </row>
    <row r="135" spans="1:21" x14ac:dyDescent="0.25">
      <c r="A135" s="15"/>
      <c r="B135" s="34">
        <v>107</v>
      </c>
      <c r="C135" s="34" t="s">
        <v>21</v>
      </c>
      <c r="D135" s="35" t="s">
        <v>491</v>
      </c>
      <c r="E135" s="35">
        <v>3</v>
      </c>
      <c r="F135" s="34" t="s">
        <v>359</v>
      </c>
      <c r="G135" s="36" t="s">
        <v>335</v>
      </c>
      <c r="H135" s="37" t="s">
        <v>515</v>
      </c>
      <c r="I135" s="38">
        <v>209750</v>
      </c>
      <c r="J135" s="37" t="s">
        <v>511</v>
      </c>
      <c r="K135" s="35" t="s">
        <v>58</v>
      </c>
      <c r="L135" s="35" t="s">
        <v>338</v>
      </c>
      <c r="M135" s="35" t="s">
        <v>30</v>
      </c>
      <c r="N135" s="35" t="s">
        <v>30</v>
      </c>
      <c r="O135" s="35" t="s">
        <v>95</v>
      </c>
      <c r="P135" s="35" t="s">
        <v>516</v>
      </c>
      <c r="Q135" s="34"/>
      <c r="R135" s="39">
        <v>45382</v>
      </c>
      <c r="S135" s="35" t="s">
        <v>43</v>
      </c>
      <c r="T135" s="35" t="s">
        <v>517</v>
      </c>
      <c r="U135" s="15"/>
    </row>
    <row r="136" spans="1:21" x14ac:dyDescent="0.25">
      <c r="A136" s="15"/>
      <c r="B136" s="40">
        <v>108</v>
      </c>
      <c r="C136" s="40" t="s">
        <v>21</v>
      </c>
      <c r="D136" s="41" t="s">
        <v>491</v>
      </c>
      <c r="E136" s="41">
        <v>3</v>
      </c>
      <c r="F136" s="40" t="s">
        <v>518</v>
      </c>
      <c r="G136" s="42" t="s">
        <v>335</v>
      </c>
      <c r="H136" s="43" t="s">
        <v>519</v>
      </c>
      <c r="I136" s="101">
        <f>14732.81+9493.29-47.1</f>
        <v>24179</v>
      </c>
      <c r="J136" s="43" t="s">
        <v>520</v>
      </c>
      <c r="K136" s="41" t="s">
        <v>58</v>
      </c>
      <c r="L136" s="41" t="s">
        <v>338</v>
      </c>
      <c r="M136" s="41" t="s">
        <v>30</v>
      </c>
      <c r="N136" s="41" t="s">
        <v>30</v>
      </c>
      <c r="O136" s="86" t="s">
        <v>162</v>
      </c>
      <c r="P136" s="41" t="s">
        <v>521</v>
      </c>
      <c r="Q136" s="41"/>
      <c r="R136" s="45">
        <v>45643</v>
      </c>
      <c r="S136" s="41" t="s">
        <v>34</v>
      </c>
      <c r="T136" s="41" t="s">
        <v>522</v>
      </c>
      <c r="U136" s="15"/>
    </row>
    <row r="137" spans="1:21" x14ac:dyDescent="0.25">
      <c r="A137" s="15"/>
      <c r="B137" s="34">
        <v>109.1</v>
      </c>
      <c r="C137" s="34" t="s">
        <v>21</v>
      </c>
      <c r="D137" s="35" t="s">
        <v>491</v>
      </c>
      <c r="E137" s="86">
        <v>4</v>
      </c>
      <c r="F137" s="99" t="s">
        <v>462</v>
      </c>
      <c r="G137" s="36" t="s">
        <v>335</v>
      </c>
      <c r="H137" s="37" t="s">
        <v>523</v>
      </c>
      <c r="I137" s="100">
        <f>700000+617273</f>
        <v>1317273</v>
      </c>
      <c r="J137" s="37" t="s">
        <v>524</v>
      </c>
      <c r="K137" s="35" t="s">
        <v>58</v>
      </c>
      <c r="L137" s="35" t="s">
        <v>338</v>
      </c>
      <c r="M137" s="35" t="s">
        <v>30</v>
      </c>
      <c r="N137" s="35" t="s">
        <v>29</v>
      </c>
      <c r="O137" s="35" t="s">
        <v>95</v>
      </c>
      <c r="P137" s="35" t="s">
        <v>113</v>
      </c>
      <c r="Q137" s="34"/>
      <c r="R137" s="39">
        <v>45444</v>
      </c>
      <c r="S137" s="35" t="s">
        <v>69</v>
      </c>
      <c r="T137" s="35" t="s">
        <v>525</v>
      </c>
      <c r="U137" s="15"/>
    </row>
    <row r="138" spans="1:21" x14ac:dyDescent="0.25">
      <c r="A138" s="15"/>
      <c r="B138" s="40">
        <v>109.2</v>
      </c>
      <c r="C138" s="40" t="s">
        <v>21</v>
      </c>
      <c r="D138" s="41" t="s">
        <v>491</v>
      </c>
      <c r="E138" s="86">
        <v>3</v>
      </c>
      <c r="F138" s="99" t="s">
        <v>526</v>
      </c>
      <c r="G138" s="42" t="s">
        <v>335</v>
      </c>
      <c r="H138" s="43" t="s">
        <v>523</v>
      </c>
      <c r="I138" s="101">
        <f>620000-617273-1588</f>
        <v>1139</v>
      </c>
      <c r="J138" s="43" t="s">
        <v>524</v>
      </c>
      <c r="K138" s="41" t="s">
        <v>58</v>
      </c>
      <c r="L138" s="41" t="s">
        <v>338</v>
      </c>
      <c r="M138" s="41" t="s">
        <v>30</v>
      </c>
      <c r="N138" s="41" t="s">
        <v>29</v>
      </c>
      <c r="O138" s="41" t="s">
        <v>95</v>
      </c>
      <c r="P138" s="41" t="s">
        <v>113</v>
      </c>
      <c r="Q138" s="41"/>
      <c r="R138" s="45">
        <v>45444</v>
      </c>
      <c r="S138" s="41" t="s">
        <v>69</v>
      </c>
      <c r="T138" s="41" t="s">
        <v>525</v>
      </c>
      <c r="U138" s="15"/>
    </row>
    <row r="139" spans="1:21" x14ac:dyDescent="0.25">
      <c r="A139" s="15"/>
      <c r="B139" s="34">
        <v>110</v>
      </c>
      <c r="C139" s="34" t="s">
        <v>21</v>
      </c>
      <c r="D139" s="35" t="s">
        <v>491</v>
      </c>
      <c r="E139" s="35">
        <v>4</v>
      </c>
      <c r="F139" s="34" t="s">
        <v>527</v>
      </c>
      <c r="G139" s="36" t="s">
        <v>335</v>
      </c>
      <c r="H139" s="37" t="s">
        <v>528</v>
      </c>
      <c r="I139" s="100">
        <f>1000000+1588</f>
        <v>1001588</v>
      </c>
      <c r="J139" s="37" t="s">
        <v>511</v>
      </c>
      <c r="K139" s="35" t="s">
        <v>58</v>
      </c>
      <c r="L139" s="35" t="s">
        <v>338</v>
      </c>
      <c r="M139" s="35" t="s">
        <v>30</v>
      </c>
      <c r="N139" s="35" t="s">
        <v>30</v>
      </c>
      <c r="O139" s="35" t="s">
        <v>95</v>
      </c>
      <c r="P139" s="35" t="s">
        <v>516</v>
      </c>
      <c r="Q139" s="34"/>
      <c r="R139" s="39">
        <v>45382</v>
      </c>
      <c r="S139" s="35" t="s">
        <v>43</v>
      </c>
      <c r="T139" s="35" t="s">
        <v>494</v>
      </c>
      <c r="U139" s="15"/>
    </row>
    <row r="140" spans="1:21" x14ac:dyDescent="0.25">
      <c r="A140" s="15"/>
      <c r="B140" s="40">
        <v>111</v>
      </c>
      <c r="C140" s="40" t="s">
        <v>21</v>
      </c>
      <c r="D140" s="41" t="s">
        <v>491</v>
      </c>
      <c r="E140" s="41">
        <v>3</v>
      </c>
      <c r="F140" s="40" t="s">
        <v>334</v>
      </c>
      <c r="G140" s="42" t="s">
        <v>335</v>
      </c>
      <c r="H140" s="43" t="s">
        <v>529</v>
      </c>
      <c r="I140" s="44">
        <v>500000</v>
      </c>
      <c r="J140" s="43" t="s">
        <v>530</v>
      </c>
      <c r="K140" s="41" t="s">
        <v>58</v>
      </c>
      <c r="L140" s="41" t="s">
        <v>338</v>
      </c>
      <c r="M140" s="41" t="s">
        <v>30</v>
      </c>
      <c r="N140" s="41" t="s">
        <v>30</v>
      </c>
      <c r="O140" s="41" t="s">
        <v>95</v>
      </c>
      <c r="P140" s="41" t="s">
        <v>113</v>
      </c>
      <c r="Q140" s="41"/>
      <c r="R140" s="45">
        <v>45382</v>
      </c>
      <c r="S140" s="41" t="s">
        <v>43</v>
      </c>
      <c r="T140" s="41" t="s">
        <v>494</v>
      </c>
      <c r="U140" s="15"/>
    </row>
    <row r="141" spans="1:21" x14ac:dyDescent="0.25">
      <c r="A141" s="15"/>
      <c r="B141" s="34">
        <v>112</v>
      </c>
      <c r="C141" s="34" t="s">
        <v>21</v>
      </c>
      <c r="D141" s="35" t="s">
        <v>491</v>
      </c>
      <c r="E141" s="35">
        <v>3</v>
      </c>
      <c r="F141" s="34" t="s">
        <v>334</v>
      </c>
      <c r="G141" s="36" t="s">
        <v>335</v>
      </c>
      <c r="H141" s="37" t="s">
        <v>531</v>
      </c>
      <c r="I141" s="38">
        <v>150000</v>
      </c>
      <c r="J141" s="37" t="s">
        <v>532</v>
      </c>
      <c r="K141" s="35" t="s">
        <v>58</v>
      </c>
      <c r="L141" s="35" t="s">
        <v>338</v>
      </c>
      <c r="M141" s="35" t="s">
        <v>30</v>
      </c>
      <c r="N141" s="35" t="s">
        <v>30</v>
      </c>
      <c r="O141" s="35" t="s">
        <v>95</v>
      </c>
      <c r="P141" s="35" t="s">
        <v>113</v>
      </c>
      <c r="Q141" s="34"/>
      <c r="R141" s="39">
        <v>45453</v>
      </c>
      <c r="S141" s="35" t="s">
        <v>69</v>
      </c>
      <c r="T141" s="35" t="s">
        <v>494</v>
      </c>
      <c r="U141" s="15"/>
    </row>
    <row r="142" spans="1:21" x14ac:dyDescent="0.25">
      <c r="A142" s="15"/>
      <c r="B142" s="40">
        <v>113</v>
      </c>
      <c r="C142" s="40" t="s">
        <v>21</v>
      </c>
      <c r="D142" s="41" t="s">
        <v>491</v>
      </c>
      <c r="E142" s="41">
        <v>3</v>
      </c>
      <c r="F142" s="40" t="s">
        <v>365</v>
      </c>
      <c r="G142" s="42" t="s">
        <v>335</v>
      </c>
      <c r="H142" s="43" t="s">
        <v>533</v>
      </c>
      <c r="I142" s="44">
        <v>140506.71</v>
      </c>
      <c r="J142" s="43" t="s">
        <v>534</v>
      </c>
      <c r="K142" s="41" t="s">
        <v>58</v>
      </c>
      <c r="L142" s="41" t="s">
        <v>338</v>
      </c>
      <c r="M142" s="41" t="s">
        <v>30</v>
      </c>
      <c r="N142" s="41" t="s">
        <v>30</v>
      </c>
      <c r="O142" s="41" t="s">
        <v>95</v>
      </c>
      <c r="P142" s="41" t="s">
        <v>113</v>
      </c>
      <c r="Q142" s="41"/>
      <c r="R142" s="45">
        <v>45453</v>
      </c>
      <c r="S142" s="41" t="s">
        <v>69</v>
      </c>
      <c r="T142" s="41" t="s">
        <v>379</v>
      </c>
      <c r="U142" s="15"/>
    </row>
    <row r="143" spans="1:21" x14ac:dyDescent="0.25">
      <c r="A143" s="15"/>
      <c r="B143" s="7">
        <v>114</v>
      </c>
      <c r="C143" s="7" t="s">
        <v>21</v>
      </c>
      <c r="D143" s="8" t="s">
        <v>535</v>
      </c>
      <c r="E143" s="8">
        <v>3</v>
      </c>
      <c r="F143" s="7" t="s">
        <v>233</v>
      </c>
      <c r="G143" s="10" t="s">
        <v>536</v>
      </c>
      <c r="H143" s="13" t="s">
        <v>537</v>
      </c>
      <c r="I143" s="126">
        <v>66000</v>
      </c>
      <c r="J143" s="13" t="s">
        <v>538</v>
      </c>
      <c r="K143" s="8" t="s">
        <v>58</v>
      </c>
      <c r="L143" s="8" t="s">
        <v>539</v>
      </c>
      <c r="M143" s="8" t="s">
        <v>29</v>
      </c>
      <c r="N143" s="8" t="s">
        <v>29</v>
      </c>
      <c r="O143" s="8" t="s">
        <v>162</v>
      </c>
      <c r="P143" s="8" t="s">
        <v>113</v>
      </c>
      <c r="Q143" s="7"/>
      <c r="R143" s="12">
        <v>45505</v>
      </c>
      <c r="S143" s="8" t="s">
        <v>69</v>
      </c>
      <c r="T143" s="7" t="s">
        <v>540</v>
      </c>
      <c r="U143" s="15"/>
    </row>
    <row r="144" spans="1:21" x14ac:dyDescent="0.25">
      <c r="A144" s="15"/>
      <c r="B144" s="3">
        <v>115</v>
      </c>
      <c r="C144" s="3" t="s">
        <v>21</v>
      </c>
      <c r="D144" s="4" t="s">
        <v>535</v>
      </c>
      <c r="E144" s="4">
        <v>3</v>
      </c>
      <c r="F144" s="3" t="s">
        <v>233</v>
      </c>
      <c r="G144" s="6" t="s">
        <v>536</v>
      </c>
      <c r="H144" s="14" t="s">
        <v>541</v>
      </c>
      <c r="I144" s="126">
        <v>42000</v>
      </c>
      <c r="J144" s="14" t="s">
        <v>538</v>
      </c>
      <c r="K144" s="4" t="s">
        <v>58</v>
      </c>
      <c r="L144" s="4" t="s">
        <v>539</v>
      </c>
      <c r="M144" s="4" t="s">
        <v>29</v>
      </c>
      <c r="N144" s="4" t="s">
        <v>29</v>
      </c>
      <c r="O144" s="4" t="s">
        <v>162</v>
      </c>
      <c r="P144" s="4" t="s">
        <v>113</v>
      </c>
      <c r="Q144" s="3"/>
      <c r="R144" s="11">
        <v>45505</v>
      </c>
      <c r="S144" s="4" t="s">
        <v>69</v>
      </c>
      <c r="T144" s="4" t="s">
        <v>540</v>
      </c>
      <c r="U144" s="15"/>
    </row>
    <row r="145" spans="1:21" x14ac:dyDescent="0.25">
      <c r="A145" s="15"/>
      <c r="B145" s="7">
        <v>116</v>
      </c>
      <c r="C145" s="7" t="s">
        <v>21</v>
      </c>
      <c r="D145" s="8" t="s">
        <v>535</v>
      </c>
      <c r="E145" s="8">
        <v>3</v>
      </c>
      <c r="F145" s="7" t="s">
        <v>233</v>
      </c>
      <c r="G145" s="10" t="s">
        <v>536</v>
      </c>
      <c r="H145" s="13" t="s">
        <v>542</v>
      </c>
      <c r="I145" s="126">
        <v>33000</v>
      </c>
      <c r="J145" s="13" t="s">
        <v>538</v>
      </c>
      <c r="K145" s="8" t="s">
        <v>58</v>
      </c>
      <c r="L145" s="8" t="s">
        <v>539</v>
      </c>
      <c r="M145" s="8" t="s">
        <v>29</v>
      </c>
      <c r="N145" s="8" t="s">
        <v>29</v>
      </c>
      <c r="O145" s="8" t="s">
        <v>162</v>
      </c>
      <c r="P145" s="8" t="s">
        <v>113</v>
      </c>
      <c r="Q145" s="7"/>
      <c r="R145" s="12">
        <v>45505</v>
      </c>
      <c r="S145" s="8" t="s">
        <v>69</v>
      </c>
      <c r="T145" s="7" t="s">
        <v>540</v>
      </c>
      <c r="U145" s="15"/>
    </row>
    <row r="146" spans="1:21" x14ac:dyDescent="0.25">
      <c r="A146" s="15"/>
      <c r="B146" s="3">
        <v>117</v>
      </c>
      <c r="C146" s="3" t="s">
        <v>21</v>
      </c>
      <c r="D146" s="4" t="s">
        <v>535</v>
      </c>
      <c r="E146" s="4">
        <v>3</v>
      </c>
      <c r="F146" s="3" t="s">
        <v>233</v>
      </c>
      <c r="G146" s="6" t="s">
        <v>536</v>
      </c>
      <c r="H146" s="14" t="s">
        <v>543</v>
      </c>
      <c r="I146" s="126">
        <v>35000</v>
      </c>
      <c r="J146" s="14" t="s">
        <v>538</v>
      </c>
      <c r="K146" s="4" t="s">
        <v>58</v>
      </c>
      <c r="L146" s="4" t="s">
        <v>539</v>
      </c>
      <c r="M146" s="4" t="s">
        <v>29</v>
      </c>
      <c r="N146" s="4" t="s">
        <v>29</v>
      </c>
      <c r="O146" s="4" t="s">
        <v>162</v>
      </c>
      <c r="P146" s="4" t="s">
        <v>113</v>
      </c>
      <c r="Q146" s="3"/>
      <c r="R146" s="11">
        <v>45505</v>
      </c>
      <c r="S146" s="4" t="s">
        <v>69</v>
      </c>
      <c r="T146" s="4" t="s">
        <v>540</v>
      </c>
      <c r="U146" s="15"/>
    </row>
    <row r="147" spans="1:21" x14ac:dyDescent="0.25">
      <c r="A147" s="15"/>
      <c r="B147" s="7">
        <v>118</v>
      </c>
      <c r="C147" s="7" t="s">
        <v>21</v>
      </c>
      <c r="D147" s="8" t="s">
        <v>535</v>
      </c>
      <c r="E147" s="8">
        <v>3</v>
      </c>
      <c r="F147" s="7" t="s">
        <v>544</v>
      </c>
      <c r="G147" s="10" t="s">
        <v>536</v>
      </c>
      <c r="H147" s="13" t="s">
        <v>545</v>
      </c>
      <c r="I147" s="126">
        <v>5100</v>
      </c>
      <c r="J147" s="13" t="s">
        <v>546</v>
      </c>
      <c r="K147" s="8" t="s">
        <v>58</v>
      </c>
      <c r="L147" s="8" t="s">
        <v>547</v>
      </c>
      <c r="M147" s="8" t="s">
        <v>29</v>
      </c>
      <c r="N147" s="8" t="s">
        <v>29</v>
      </c>
      <c r="O147" s="8" t="s">
        <v>162</v>
      </c>
      <c r="P147" s="8" t="s">
        <v>113</v>
      </c>
      <c r="Q147" s="7"/>
      <c r="R147" s="12">
        <v>45505</v>
      </c>
      <c r="S147" s="8" t="s">
        <v>34</v>
      </c>
      <c r="T147" s="7" t="s">
        <v>548</v>
      </c>
      <c r="U147" s="15"/>
    </row>
    <row r="148" spans="1:21" x14ac:dyDescent="0.25">
      <c r="A148" s="15"/>
      <c r="B148" s="3">
        <v>119</v>
      </c>
      <c r="C148" s="3" t="s">
        <v>21</v>
      </c>
      <c r="D148" s="4" t="s">
        <v>535</v>
      </c>
      <c r="E148" s="4">
        <v>3</v>
      </c>
      <c r="F148" s="3" t="s">
        <v>549</v>
      </c>
      <c r="G148" s="6" t="s">
        <v>536</v>
      </c>
      <c r="H148" s="14" t="s">
        <v>550</v>
      </c>
      <c r="I148" s="126">
        <v>1521140.3</v>
      </c>
      <c r="J148" s="14" t="s">
        <v>551</v>
      </c>
      <c r="K148" s="4" t="s">
        <v>58</v>
      </c>
      <c r="L148" s="4" t="s">
        <v>539</v>
      </c>
      <c r="M148" s="4" t="s">
        <v>29</v>
      </c>
      <c r="N148" s="4" t="s">
        <v>29</v>
      </c>
      <c r="O148" s="4" t="s">
        <v>49</v>
      </c>
      <c r="P148" s="4" t="s">
        <v>552</v>
      </c>
      <c r="Q148" s="3" t="s">
        <v>553</v>
      </c>
      <c r="R148" s="11" t="s">
        <v>58</v>
      </c>
      <c r="S148" s="4" t="s">
        <v>43</v>
      </c>
      <c r="T148" s="4" t="s">
        <v>554</v>
      </c>
      <c r="U148" s="15"/>
    </row>
    <row r="149" spans="1:21" x14ac:dyDescent="0.25">
      <c r="A149" s="15"/>
      <c r="B149" s="7">
        <v>120</v>
      </c>
      <c r="C149" s="7" t="s">
        <v>21</v>
      </c>
      <c r="D149" s="8" t="s">
        <v>535</v>
      </c>
      <c r="E149" s="8">
        <v>3</v>
      </c>
      <c r="F149" s="7" t="s">
        <v>555</v>
      </c>
      <c r="G149" s="10" t="s">
        <v>536</v>
      </c>
      <c r="H149" s="13" t="s">
        <v>556</v>
      </c>
      <c r="I149" s="134">
        <v>39476</v>
      </c>
      <c r="J149" s="13" t="s">
        <v>557</v>
      </c>
      <c r="K149" s="8" t="s">
        <v>58</v>
      </c>
      <c r="L149" s="8" t="s">
        <v>547</v>
      </c>
      <c r="M149" s="8" t="s">
        <v>29</v>
      </c>
      <c r="N149" s="8" t="s">
        <v>29</v>
      </c>
      <c r="O149" s="8" t="s">
        <v>95</v>
      </c>
      <c r="P149" s="8" t="s">
        <v>558</v>
      </c>
      <c r="Q149" s="7"/>
      <c r="R149" s="12">
        <v>45619</v>
      </c>
      <c r="S149" s="8" t="s">
        <v>34</v>
      </c>
      <c r="T149" s="7" t="s">
        <v>295</v>
      </c>
      <c r="U149" s="15"/>
    </row>
    <row r="150" spans="1:21" x14ac:dyDescent="0.25">
      <c r="A150" s="15"/>
      <c r="B150" s="3">
        <v>121</v>
      </c>
      <c r="C150" s="3" t="s">
        <v>21</v>
      </c>
      <c r="D150" s="4" t="s">
        <v>535</v>
      </c>
      <c r="E150" s="4">
        <v>3</v>
      </c>
      <c r="F150" s="3" t="s">
        <v>559</v>
      </c>
      <c r="G150" s="6" t="s">
        <v>536</v>
      </c>
      <c r="H150" s="14" t="s">
        <v>560</v>
      </c>
      <c r="I150" s="48">
        <v>147426</v>
      </c>
      <c r="J150" s="14" t="s">
        <v>561</v>
      </c>
      <c r="K150" s="4" t="s">
        <v>58</v>
      </c>
      <c r="L150" s="4" t="s">
        <v>539</v>
      </c>
      <c r="M150" s="4" t="s">
        <v>29</v>
      </c>
      <c r="N150" s="4" t="s">
        <v>29</v>
      </c>
      <c r="O150" s="4" t="s">
        <v>49</v>
      </c>
      <c r="P150" s="4" t="s">
        <v>562</v>
      </c>
      <c r="Q150" s="3" t="s">
        <v>563</v>
      </c>
      <c r="R150" s="11"/>
      <c r="S150" s="4" t="s">
        <v>69</v>
      </c>
      <c r="T150" s="4" t="s">
        <v>364</v>
      </c>
      <c r="U150" s="15"/>
    </row>
    <row r="151" spans="1:21" x14ac:dyDescent="0.25">
      <c r="A151" s="15"/>
      <c r="B151" s="7">
        <v>122</v>
      </c>
      <c r="C151" s="7" t="s">
        <v>21</v>
      </c>
      <c r="D151" s="8" t="s">
        <v>564</v>
      </c>
      <c r="E151" s="8">
        <v>3</v>
      </c>
      <c r="F151" s="7" t="s">
        <v>253</v>
      </c>
      <c r="G151" s="10" t="s">
        <v>565</v>
      </c>
      <c r="H151" s="13" t="s">
        <v>566</v>
      </c>
      <c r="I151" s="47">
        <v>311975</v>
      </c>
      <c r="J151" s="13" t="s">
        <v>567</v>
      </c>
      <c r="K151" s="8" t="s">
        <v>58</v>
      </c>
      <c r="L151" s="8" t="s">
        <v>313</v>
      </c>
      <c r="M151" s="8" t="s">
        <v>29</v>
      </c>
      <c r="N151" s="8" t="s">
        <v>29</v>
      </c>
      <c r="O151" s="8" t="s">
        <v>58</v>
      </c>
      <c r="P151" s="8" t="s">
        <v>58</v>
      </c>
      <c r="Q151" s="7" t="s">
        <v>58</v>
      </c>
      <c r="R151" s="12" t="s">
        <v>58</v>
      </c>
      <c r="S151" s="8" t="s">
        <v>58</v>
      </c>
      <c r="T151" s="7" t="s">
        <v>256</v>
      </c>
      <c r="U151" s="15"/>
    </row>
    <row r="152" spans="1:21" x14ac:dyDescent="0.25">
      <c r="A152" s="15"/>
      <c r="B152" s="3">
        <v>123</v>
      </c>
      <c r="C152" s="3" t="s">
        <v>21</v>
      </c>
      <c r="D152" s="4" t="s">
        <v>564</v>
      </c>
      <c r="E152" s="4">
        <v>3</v>
      </c>
      <c r="F152" s="3" t="s">
        <v>253</v>
      </c>
      <c r="G152" s="6" t="s">
        <v>565</v>
      </c>
      <c r="H152" s="14" t="s">
        <v>568</v>
      </c>
      <c r="I152" s="48">
        <v>124790</v>
      </c>
      <c r="J152" s="14" t="s">
        <v>569</v>
      </c>
      <c r="K152" s="4" t="s">
        <v>58</v>
      </c>
      <c r="L152" s="4" t="s">
        <v>313</v>
      </c>
      <c r="M152" s="4" t="s">
        <v>29</v>
      </c>
      <c r="N152" s="4" t="s">
        <v>29</v>
      </c>
      <c r="O152" s="4" t="s">
        <v>58</v>
      </c>
      <c r="P152" s="4" t="s">
        <v>58</v>
      </c>
      <c r="Q152" s="3" t="s">
        <v>58</v>
      </c>
      <c r="R152" s="11" t="s">
        <v>58</v>
      </c>
      <c r="S152" s="4" t="s">
        <v>34</v>
      </c>
      <c r="T152" s="4" t="s">
        <v>256</v>
      </c>
      <c r="U152" s="15"/>
    </row>
    <row r="153" spans="1:21" x14ac:dyDescent="0.25">
      <c r="A153" s="15"/>
      <c r="B153" s="7">
        <v>124</v>
      </c>
      <c r="C153" s="7" t="s">
        <v>21</v>
      </c>
      <c r="D153" s="8" t="s">
        <v>570</v>
      </c>
      <c r="E153" s="8">
        <v>3</v>
      </c>
      <c r="F153" s="7" t="s">
        <v>253</v>
      </c>
      <c r="G153" s="10" t="s">
        <v>571</v>
      </c>
      <c r="H153" s="13" t="s">
        <v>572</v>
      </c>
      <c r="I153" s="47">
        <v>609846.6</v>
      </c>
      <c r="J153" s="13" t="s">
        <v>573</v>
      </c>
      <c r="K153" s="8" t="s">
        <v>58</v>
      </c>
      <c r="L153" s="8" t="s">
        <v>574</v>
      </c>
      <c r="M153" s="8" t="s">
        <v>30</v>
      </c>
      <c r="N153" s="8" t="s">
        <v>29</v>
      </c>
      <c r="O153" s="8" t="s">
        <v>58</v>
      </c>
      <c r="P153" s="8" t="s">
        <v>58</v>
      </c>
      <c r="Q153" s="7"/>
      <c r="R153" s="12"/>
      <c r="S153" s="8" t="s">
        <v>58</v>
      </c>
      <c r="T153" s="7" t="s">
        <v>575</v>
      </c>
      <c r="U153" s="15"/>
    </row>
    <row r="154" spans="1:21" x14ac:dyDescent="0.25">
      <c r="A154" s="15"/>
      <c r="B154" s="3">
        <v>125</v>
      </c>
      <c r="C154" s="3" t="s">
        <v>21</v>
      </c>
      <c r="D154" s="4" t="s">
        <v>570</v>
      </c>
      <c r="E154" s="4">
        <v>3</v>
      </c>
      <c r="F154" s="3" t="s">
        <v>253</v>
      </c>
      <c r="G154" s="6" t="s">
        <v>571</v>
      </c>
      <c r="H154" s="14" t="s">
        <v>576</v>
      </c>
      <c r="I154" s="48">
        <v>180694.18</v>
      </c>
      <c r="J154" s="14" t="s">
        <v>577</v>
      </c>
      <c r="K154" s="4" t="s">
        <v>58</v>
      </c>
      <c r="L154" s="4" t="s">
        <v>574</v>
      </c>
      <c r="M154" s="4" t="s">
        <v>30</v>
      </c>
      <c r="N154" s="4" t="s">
        <v>29</v>
      </c>
      <c r="O154" s="4" t="s">
        <v>58</v>
      </c>
      <c r="P154" s="4" t="s">
        <v>58</v>
      </c>
      <c r="Q154" s="3"/>
      <c r="R154" s="11"/>
      <c r="S154" s="4" t="s">
        <v>58</v>
      </c>
      <c r="T154" s="4" t="s">
        <v>575</v>
      </c>
      <c r="U154" s="15"/>
    </row>
    <row r="155" spans="1:21" x14ac:dyDescent="0.25">
      <c r="A155" s="15"/>
      <c r="B155" s="7">
        <v>126</v>
      </c>
      <c r="C155" s="7" t="s">
        <v>21</v>
      </c>
      <c r="D155" s="8" t="s">
        <v>570</v>
      </c>
      <c r="E155" s="8">
        <v>3</v>
      </c>
      <c r="F155" s="7" t="s">
        <v>253</v>
      </c>
      <c r="G155" s="10" t="s">
        <v>571</v>
      </c>
      <c r="H155" s="13" t="s">
        <v>578</v>
      </c>
      <c r="I155" s="47">
        <v>225870.16</v>
      </c>
      <c r="J155" s="13" t="s">
        <v>579</v>
      </c>
      <c r="K155" s="8" t="s">
        <v>58</v>
      </c>
      <c r="L155" s="8" t="s">
        <v>574</v>
      </c>
      <c r="M155" s="8" t="s">
        <v>30</v>
      </c>
      <c r="N155" s="8" t="s">
        <v>29</v>
      </c>
      <c r="O155" s="8" t="s">
        <v>58</v>
      </c>
      <c r="P155" s="8" t="s">
        <v>58</v>
      </c>
      <c r="Q155" s="7"/>
      <c r="R155" s="12"/>
      <c r="S155" s="8" t="s">
        <v>58</v>
      </c>
      <c r="T155" s="7" t="s">
        <v>256</v>
      </c>
      <c r="U155" s="15"/>
    </row>
    <row r="156" spans="1:21" x14ac:dyDescent="0.25">
      <c r="A156" s="15"/>
      <c r="B156" s="3">
        <v>127</v>
      </c>
      <c r="C156" s="3" t="s">
        <v>21</v>
      </c>
      <c r="D156" s="4" t="s">
        <v>580</v>
      </c>
      <c r="E156" s="4">
        <v>3</v>
      </c>
      <c r="F156" s="3" t="s">
        <v>77</v>
      </c>
      <c r="G156" s="6" t="s">
        <v>581</v>
      </c>
      <c r="H156" s="14" t="s">
        <v>582</v>
      </c>
      <c r="I156" s="48">
        <f>6899604+396+18</f>
        <v>6900018</v>
      </c>
      <c r="J156" s="14" t="s">
        <v>583</v>
      </c>
      <c r="K156" s="4" t="s">
        <v>58</v>
      </c>
      <c r="L156" s="4" t="s">
        <v>40</v>
      </c>
      <c r="M156" s="4" t="s">
        <v>29</v>
      </c>
      <c r="N156" s="4" t="s">
        <v>30</v>
      </c>
      <c r="O156" s="4" t="s">
        <v>31</v>
      </c>
      <c r="P156" s="4" t="s">
        <v>584</v>
      </c>
      <c r="Q156" s="3" t="s">
        <v>585</v>
      </c>
      <c r="R156" s="11">
        <v>45336</v>
      </c>
      <c r="S156" s="4" t="s">
        <v>43</v>
      </c>
      <c r="T156" s="4" t="s">
        <v>145</v>
      </c>
      <c r="U156" s="15"/>
    </row>
    <row r="157" spans="1:21" x14ac:dyDescent="0.25">
      <c r="A157" s="15"/>
      <c r="B157" s="7">
        <v>128</v>
      </c>
      <c r="C157" s="7" t="s">
        <v>21</v>
      </c>
      <c r="D157" s="8" t="s">
        <v>580</v>
      </c>
      <c r="E157" s="8">
        <v>3</v>
      </c>
      <c r="F157" s="7" t="s">
        <v>77</v>
      </c>
      <c r="G157" s="10" t="s">
        <v>581</v>
      </c>
      <c r="H157" s="13" t="s">
        <v>586</v>
      </c>
      <c r="I157" s="47">
        <v>1200000</v>
      </c>
      <c r="J157" s="13" t="s">
        <v>587</v>
      </c>
      <c r="K157" s="8" t="s">
        <v>58</v>
      </c>
      <c r="L157" s="8" t="s">
        <v>40</v>
      </c>
      <c r="M157" s="8" t="s">
        <v>29</v>
      </c>
      <c r="N157" s="8" t="s">
        <v>30</v>
      </c>
      <c r="O157" s="8" t="s">
        <v>31</v>
      </c>
      <c r="P157" s="8" t="s">
        <v>588</v>
      </c>
      <c r="Q157" s="7" t="s">
        <v>589</v>
      </c>
      <c r="R157" s="12">
        <v>45323</v>
      </c>
      <c r="S157" s="8" t="s">
        <v>43</v>
      </c>
      <c r="T157" s="7" t="s">
        <v>145</v>
      </c>
      <c r="U157" s="15"/>
    </row>
    <row r="158" spans="1:21" x14ac:dyDescent="0.25">
      <c r="A158" s="15"/>
      <c r="B158" s="3">
        <v>129</v>
      </c>
      <c r="C158" s="3" t="s">
        <v>21</v>
      </c>
      <c r="D158" s="4" t="s">
        <v>580</v>
      </c>
      <c r="E158" s="4">
        <v>3</v>
      </c>
      <c r="F158" s="3" t="s">
        <v>590</v>
      </c>
      <c r="G158" s="6" t="s">
        <v>581</v>
      </c>
      <c r="H158" s="14" t="s">
        <v>591</v>
      </c>
      <c r="I158" s="48">
        <v>38480</v>
      </c>
      <c r="J158" s="14" t="s">
        <v>592</v>
      </c>
      <c r="K158" s="4" t="s">
        <v>58</v>
      </c>
      <c r="L158" s="4" t="s">
        <v>40</v>
      </c>
      <c r="M158" s="4" t="s">
        <v>29</v>
      </c>
      <c r="N158" s="4" t="s">
        <v>30</v>
      </c>
      <c r="O158" s="4" t="s">
        <v>31</v>
      </c>
      <c r="P158" s="4" t="s">
        <v>593</v>
      </c>
      <c r="Q158" s="3" t="s">
        <v>594</v>
      </c>
      <c r="R158" s="11">
        <v>45459</v>
      </c>
      <c r="S158" s="4" t="s">
        <v>69</v>
      </c>
      <c r="T158" s="86" t="s">
        <v>595</v>
      </c>
      <c r="U158" s="15"/>
    </row>
    <row r="159" spans="1:21" x14ac:dyDescent="0.25">
      <c r="A159" s="15"/>
      <c r="B159" s="7">
        <v>130</v>
      </c>
      <c r="C159" s="7" t="s">
        <v>21</v>
      </c>
      <c r="D159" s="8" t="s">
        <v>580</v>
      </c>
      <c r="E159" s="8">
        <v>3</v>
      </c>
      <c r="F159" s="7" t="s">
        <v>233</v>
      </c>
      <c r="G159" s="10" t="s">
        <v>581</v>
      </c>
      <c r="H159" s="13" t="s">
        <v>596</v>
      </c>
      <c r="I159" s="47">
        <v>14300</v>
      </c>
      <c r="J159" s="13" t="s">
        <v>597</v>
      </c>
      <c r="K159" s="8" t="s">
        <v>58</v>
      </c>
      <c r="L159" s="8" t="s">
        <v>598</v>
      </c>
      <c r="M159" s="8" t="s">
        <v>29</v>
      </c>
      <c r="N159" s="8" t="s">
        <v>30</v>
      </c>
      <c r="O159" s="8" t="s">
        <v>31</v>
      </c>
      <c r="P159" s="8" t="s">
        <v>599</v>
      </c>
      <c r="Q159" s="7" t="s">
        <v>600</v>
      </c>
      <c r="R159" s="12">
        <v>45534</v>
      </c>
      <c r="S159" s="8" t="s">
        <v>43</v>
      </c>
      <c r="T159" s="7" t="s">
        <v>601</v>
      </c>
      <c r="U159" s="15"/>
    </row>
    <row r="160" spans="1:21" x14ac:dyDescent="0.25">
      <c r="A160" s="15"/>
      <c r="B160" s="3">
        <v>131.1</v>
      </c>
      <c r="C160" s="3" t="s">
        <v>21</v>
      </c>
      <c r="D160" s="4" t="s">
        <v>580</v>
      </c>
      <c r="E160" s="4">
        <v>3</v>
      </c>
      <c r="F160" s="3" t="s">
        <v>544</v>
      </c>
      <c r="G160" s="6" t="s">
        <v>581</v>
      </c>
      <c r="H160" s="14" t="s">
        <v>602</v>
      </c>
      <c r="I160" s="134">
        <v>220460</v>
      </c>
      <c r="J160" s="14" t="s">
        <v>603</v>
      </c>
      <c r="K160" s="4" t="s">
        <v>58</v>
      </c>
      <c r="L160" s="4" t="s">
        <v>598</v>
      </c>
      <c r="M160" s="4" t="s">
        <v>29</v>
      </c>
      <c r="N160" s="4" t="s">
        <v>30</v>
      </c>
      <c r="O160" s="4" t="s">
        <v>31</v>
      </c>
      <c r="P160" s="4" t="s">
        <v>604</v>
      </c>
      <c r="Q160" s="3" t="s">
        <v>605</v>
      </c>
      <c r="R160" s="11">
        <v>45504</v>
      </c>
      <c r="S160" s="4" t="s">
        <v>43</v>
      </c>
      <c r="T160" s="86" t="s">
        <v>606</v>
      </c>
      <c r="U160" s="15"/>
    </row>
    <row r="161" spans="1:21" x14ac:dyDescent="0.25">
      <c r="A161" s="15"/>
      <c r="B161" s="7">
        <v>131.19999999999999</v>
      </c>
      <c r="C161" s="7" t="s">
        <v>21</v>
      </c>
      <c r="D161" s="8" t="s">
        <v>580</v>
      </c>
      <c r="E161" s="8">
        <v>3</v>
      </c>
      <c r="F161" s="7" t="s">
        <v>544</v>
      </c>
      <c r="G161" s="10" t="s">
        <v>581</v>
      </c>
      <c r="H161" s="13" t="s">
        <v>607</v>
      </c>
      <c r="I161" s="47">
        <v>59836</v>
      </c>
      <c r="J161" s="13" t="s">
        <v>603</v>
      </c>
      <c r="K161" s="8" t="s">
        <v>58</v>
      </c>
      <c r="L161" s="8" t="s">
        <v>598</v>
      </c>
      <c r="M161" s="8" t="s">
        <v>29</v>
      </c>
      <c r="N161" s="8" t="s">
        <v>30</v>
      </c>
      <c r="O161" s="8" t="s">
        <v>31</v>
      </c>
      <c r="P161" s="8" t="s">
        <v>608</v>
      </c>
      <c r="Q161" s="7" t="s">
        <v>605</v>
      </c>
      <c r="R161" s="12">
        <v>45504</v>
      </c>
      <c r="S161" s="8" t="s">
        <v>43</v>
      </c>
      <c r="T161" s="7" t="s">
        <v>606</v>
      </c>
      <c r="U161" s="15"/>
    </row>
    <row r="162" spans="1:21" x14ac:dyDescent="0.25">
      <c r="A162" s="15"/>
      <c r="B162" s="3">
        <v>132.1</v>
      </c>
      <c r="C162" s="3" t="s">
        <v>21</v>
      </c>
      <c r="D162" s="4" t="s">
        <v>580</v>
      </c>
      <c r="E162" s="4">
        <v>3</v>
      </c>
      <c r="F162" s="3" t="s">
        <v>544</v>
      </c>
      <c r="G162" s="6" t="s">
        <v>581</v>
      </c>
      <c r="H162" s="14" t="s">
        <v>609</v>
      </c>
      <c r="I162" s="48">
        <v>21000</v>
      </c>
      <c r="J162" s="14" t="s">
        <v>610</v>
      </c>
      <c r="K162" s="4" t="s">
        <v>58</v>
      </c>
      <c r="L162" s="4" t="s">
        <v>598</v>
      </c>
      <c r="M162" s="4" t="s">
        <v>29</v>
      </c>
      <c r="N162" s="4" t="s">
        <v>30</v>
      </c>
      <c r="O162" s="4" t="s">
        <v>31</v>
      </c>
      <c r="P162" s="4" t="s">
        <v>611</v>
      </c>
      <c r="Q162" s="3" t="s">
        <v>612</v>
      </c>
      <c r="R162" s="11">
        <v>45528</v>
      </c>
      <c r="S162" s="4" t="s">
        <v>43</v>
      </c>
      <c r="T162" s="86" t="s">
        <v>613</v>
      </c>
      <c r="U162" s="15"/>
    </row>
    <row r="163" spans="1:21" x14ac:dyDescent="0.25">
      <c r="A163" s="15"/>
      <c r="B163" s="7">
        <v>132.19999999999999</v>
      </c>
      <c r="C163" s="7" t="s">
        <v>21</v>
      </c>
      <c r="D163" s="8" t="s">
        <v>580</v>
      </c>
      <c r="E163" s="8">
        <v>3</v>
      </c>
      <c r="F163" s="7" t="s">
        <v>544</v>
      </c>
      <c r="G163" s="10" t="s">
        <v>581</v>
      </c>
      <c r="H163" s="13" t="s">
        <v>614</v>
      </c>
      <c r="I163" s="47">
        <v>55468</v>
      </c>
      <c r="J163" s="13" t="s">
        <v>610</v>
      </c>
      <c r="K163" s="8" t="s">
        <v>58</v>
      </c>
      <c r="L163" s="8" t="s">
        <v>598</v>
      </c>
      <c r="M163" s="8" t="s">
        <v>29</v>
      </c>
      <c r="N163" s="8" t="s">
        <v>30</v>
      </c>
      <c r="O163" s="8" t="s">
        <v>31</v>
      </c>
      <c r="P163" s="8" t="s">
        <v>615</v>
      </c>
      <c r="Q163" s="7" t="s">
        <v>616</v>
      </c>
      <c r="R163" s="12">
        <v>45528</v>
      </c>
      <c r="S163" s="8" t="s">
        <v>43</v>
      </c>
      <c r="T163" s="99" t="s">
        <v>613</v>
      </c>
      <c r="U163" s="15"/>
    </row>
    <row r="164" spans="1:21" x14ac:dyDescent="0.25">
      <c r="A164" s="15"/>
      <c r="B164" s="3">
        <v>132.30000000000001</v>
      </c>
      <c r="C164" s="3" t="s">
        <v>21</v>
      </c>
      <c r="D164" s="4" t="s">
        <v>580</v>
      </c>
      <c r="E164" s="4">
        <v>3</v>
      </c>
      <c r="F164" s="3" t="s">
        <v>544</v>
      </c>
      <c r="G164" s="6" t="s">
        <v>581</v>
      </c>
      <c r="H164" s="14" t="s">
        <v>617</v>
      </c>
      <c r="I164" s="48">
        <v>185625</v>
      </c>
      <c r="J164" s="14" t="s">
        <v>610</v>
      </c>
      <c r="K164" s="4" t="s">
        <v>58</v>
      </c>
      <c r="L164" s="4" t="s">
        <v>598</v>
      </c>
      <c r="M164" s="4" t="s">
        <v>29</v>
      </c>
      <c r="N164" s="4" t="s">
        <v>30</v>
      </c>
      <c r="O164" s="4" t="s">
        <v>31</v>
      </c>
      <c r="P164" s="4" t="s">
        <v>618</v>
      </c>
      <c r="Q164" s="3"/>
      <c r="R164" s="11">
        <v>45528</v>
      </c>
      <c r="S164" s="4" t="s">
        <v>43</v>
      </c>
      <c r="T164" s="86" t="s">
        <v>613</v>
      </c>
      <c r="U164" s="15"/>
    </row>
    <row r="165" spans="1:21" x14ac:dyDescent="0.25">
      <c r="A165" s="15"/>
      <c r="B165" s="7">
        <v>133.1</v>
      </c>
      <c r="C165" s="7" t="s">
        <v>21</v>
      </c>
      <c r="D165" s="8" t="s">
        <v>580</v>
      </c>
      <c r="E165" s="8">
        <v>3</v>
      </c>
      <c r="F165" s="7" t="s">
        <v>233</v>
      </c>
      <c r="G165" s="10" t="s">
        <v>581</v>
      </c>
      <c r="H165" s="13" t="s">
        <v>619</v>
      </c>
      <c r="I165" s="47">
        <f>14560*6/12</f>
        <v>7280</v>
      </c>
      <c r="J165" s="13" t="s">
        <v>620</v>
      </c>
      <c r="K165" s="8" t="s">
        <v>58</v>
      </c>
      <c r="L165" s="8" t="s">
        <v>598</v>
      </c>
      <c r="M165" s="8" t="s">
        <v>29</v>
      </c>
      <c r="N165" s="8" t="s">
        <v>30</v>
      </c>
      <c r="O165" s="8" t="s">
        <v>49</v>
      </c>
      <c r="P165" s="8" t="s">
        <v>621</v>
      </c>
      <c r="Q165" s="7" t="s">
        <v>622</v>
      </c>
      <c r="R165" s="12" t="s">
        <v>58</v>
      </c>
      <c r="S165" s="8" t="s">
        <v>69</v>
      </c>
      <c r="T165" s="7" t="s">
        <v>540</v>
      </c>
      <c r="U165" s="15"/>
    </row>
    <row r="166" spans="1:21" x14ac:dyDescent="0.25">
      <c r="A166" s="15"/>
      <c r="B166" s="3">
        <v>133.19999999999999</v>
      </c>
      <c r="C166" s="3" t="s">
        <v>21</v>
      </c>
      <c r="D166" s="4" t="s">
        <v>580</v>
      </c>
      <c r="E166" s="4">
        <v>3</v>
      </c>
      <c r="F166" s="3" t="s">
        <v>233</v>
      </c>
      <c r="G166" s="6" t="s">
        <v>581</v>
      </c>
      <c r="H166" s="14" t="s">
        <v>623</v>
      </c>
      <c r="I166" s="126">
        <v>15435</v>
      </c>
      <c r="J166" s="14" t="s">
        <v>620</v>
      </c>
      <c r="K166" s="4" t="s">
        <v>58</v>
      </c>
      <c r="L166" s="4" t="s">
        <v>598</v>
      </c>
      <c r="M166" s="4" t="s">
        <v>29</v>
      </c>
      <c r="N166" s="4" t="s">
        <v>30</v>
      </c>
      <c r="O166" s="4" t="s">
        <v>162</v>
      </c>
      <c r="P166" s="86" t="s">
        <v>854</v>
      </c>
      <c r="Q166" s="3" t="s">
        <v>58</v>
      </c>
      <c r="R166" s="11">
        <v>45464</v>
      </c>
      <c r="S166" s="4" t="s">
        <v>69</v>
      </c>
      <c r="T166" s="4" t="s">
        <v>540</v>
      </c>
      <c r="U166" s="15"/>
    </row>
    <row r="167" spans="1:21" x14ac:dyDescent="0.25">
      <c r="A167" s="15"/>
      <c r="B167" s="7">
        <v>134</v>
      </c>
      <c r="C167" s="7" t="s">
        <v>21</v>
      </c>
      <c r="D167" s="8" t="s">
        <v>580</v>
      </c>
      <c r="E167" s="8">
        <v>3</v>
      </c>
      <c r="F167" s="7" t="s">
        <v>23</v>
      </c>
      <c r="G167" s="10" t="s">
        <v>581</v>
      </c>
      <c r="H167" s="13" t="s">
        <v>624</v>
      </c>
      <c r="I167" s="47">
        <v>200000</v>
      </c>
      <c r="J167" s="13" t="s">
        <v>625</v>
      </c>
      <c r="K167" s="8" t="s">
        <v>58</v>
      </c>
      <c r="L167" s="8" t="s">
        <v>598</v>
      </c>
      <c r="M167" s="8" t="s">
        <v>29</v>
      </c>
      <c r="N167" s="8" t="s">
        <v>30</v>
      </c>
      <c r="O167" s="8" t="s">
        <v>58</v>
      </c>
      <c r="P167" s="8" t="s">
        <v>626</v>
      </c>
      <c r="Q167" s="7" t="s">
        <v>627</v>
      </c>
      <c r="R167" s="12">
        <v>45440</v>
      </c>
      <c r="S167" s="8" t="s">
        <v>69</v>
      </c>
      <c r="T167" s="7" t="s">
        <v>364</v>
      </c>
      <c r="U167" s="15"/>
    </row>
    <row r="168" spans="1:21" x14ac:dyDescent="0.25">
      <c r="A168" s="15"/>
      <c r="B168" s="3">
        <v>135</v>
      </c>
      <c r="C168" s="3" t="s">
        <v>21</v>
      </c>
      <c r="D168" s="4" t="s">
        <v>580</v>
      </c>
      <c r="E168" s="4">
        <v>3</v>
      </c>
      <c r="F168" s="3" t="s">
        <v>590</v>
      </c>
      <c r="G168" s="6" t="s">
        <v>581</v>
      </c>
      <c r="H168" s="14" t="s">
        <v>628</v>
      </c>
      <c r="I168" s="48">
        <f>159897-396-188-6800-1528-100-4462-94423</f>
        <v>52000</v>
      </c>
      <c r="J168" s="14" t="s">
        <v>629</v>
      </c>
      <c r="K168" s="4" t="s">
        <v>58</v>
      </c>
      <c r="L168" s="4" t="s">
        <v>598</v>
      </c>
      <c r="M168" s="4" t="s">
        <v>29</v>
      </c>
      <c r="N168" s="4" t="s">
        <v>30</v>
      </c>
      <c r="O168" s="4" t="s">
        <v>31</v>
      </c>
      <c r="P168" s="4" t="s">
        <v>630</v>
      </c>
      <c r="Q168" s="3" t="s">
        <v>631</v>
      </c>
      <c r="R168" s="11">
        <v>45523</v>
      </c>
      <c r="S168" s="4" t="s">
        <v>69</v>
      </c>
      <c r="T168" s="4" t="s">
        <v>632</v>
      </c>
      <c r="U168" s="15"/>
    </row>
    <row r="169" spans="1:21" x14ac:dyDescent="0.25">
      <c r="A169" s="15"/>
      <c r="B169" s="7">
        <v>136</v>
      </c>
      <c r="C169" s="7" t="s">
        <v>21</v>
      </c>
      <c r="D169" s="8" t="s">
        <v>580</v>
      </c>
      <c r="E169" s="8">
        <v>3</v>
      </c>
      <c r="F169" s="7" t="s">
        <v>233</v>
      </c>
      <c r="G169" s="10" t="s">
        <v>581</v>
      </c>
      <c r="H169" s="13" t="s">
        <v>633</v>
      </c>
      <c r="I169" s="47">
        <v>1862</v>
      </c>
      <c r="J169" s="13" t="s">
        <v>634</v>
      </c>
      <c r="K169" s="8" t="s">
        <v>58</v>
      </c>
      <c r="L169" s="8" t="s">
        <v>598</v>
      </c>
      <c r="M169" s="8" t="s">
        <v>29</v>
      </c>
      <c r="N169" s="8" t="s">
        <v>30</v>
      </c>
      <c r="O169" s="8" t="s">
        <v>232</v>
      </c>
      <c r="P169" s="8" t="s">
        <v>635</v>
      </c>
      <c r="Q169" s="7"/>
      <c r="R169" s="12">
        <v>45407</v>
      </c>
      <c r="S169" s="8" t="s">
        <v>69</v>
      </c>
      <c r="T169" s="7" t="s">
        <v>636</v>
      </c>
      <c r="U169" s="15"/>
    </row>
    <row r="170" spans="1:21" x14ac:dyDescent="0.25">
      <c r="A170" s="15"/>
      <c r="B170" s="3">
        <v>137</v>
      </c>
      <c r="C170" s="3" t="s">
        <v>21</v>
      </c>
      <c r="D170" s="4" t="s">
        <v>580</v>
      </c>
      <c r="E170" s="4">
        <v>3</v>
      </c>
      <c r="F170" s="3" t="s">
        <v>233</v>
      </c>
      <c r="G170" s="6" t="s">
        <v>581</v>
      </c>
      <c r="H170" s="14" t="s">
        <v>637</v>
      </c>
      <c r="I170" s="48">
        <v>676</v>
      </c>
      <c r="J170" s="14" t="s">
        <v>638</v>
      </c>
      <c r="K170" s="4" t="s">
        <v>58</v>
      </c>
      <c r="L170" s="4" t="s">
        <v>598</v>
      </c>
      <c r="M170" s="4" t="s">
        <v>29</v>
      </c>
      <c r="N170" s="4" t="s">
        <v>30</v>
      </c>
      <c r="O170" s="4" t="s">
        <v>232</v>
      </c>
      <c r="P170" s="4" t="s">
        <v>639</v>
      </c>
      <c r="Q170" s="3"/>
      <c r="R170" s="11">
        <v>45484</v>
      </c>
      <c r="S170" s="4" t="s">
        <v>69</v>
      </c>
      <c r="T170" s="4" t="s">
        <v>636</v>
      </c>
      <c r="U170" s="15"/>
    </row>
    <row r="171" spans="1:21" x14ac:dyDescent="0.25">
      <c r="A171" s="15"/>
      <c r="B171" s="7">
        <v>138</v>
      </c>
      <c r="C171" s="7" t="s">
        <v>21</v>
      </c>
      <c r="D171" s="8" t="s">
        <v>580</v>
      </c>
      <c r="E171" s="8">
        <v>3</v>
      </c>
      <c r="F171" s="7" t="s">
        <v>233</v>
      </c>
      <c r="G171" s="10" t="s">
        <v>581</v>
      </c>
      <c r="H171" s="13" t="s">
        <v>640</v>
      </c>
      <c r="I171" s="47">
        <v>905</v>
      </c>
      <c r="J171" s="13" t="s">
        <v>638</v>
      </c>
      <c r="K171" s="8" t="s">
        <v>58</v>
      </c>
      <c r="L171" s="8" t="s">
        <v>598</v>
      </c>
      <c r="M171" s="8" t="s">
        <v>29</v>
      </c>
      <c r="N171" s="8" t="s">
        <v>30</v>
      </c>
      <c r="O171" s="8" t="s">
        <v>232</v>
      </c>
      <c r="P171" s="8" t="s">
        <v>641</v>
      </c>
      <c r="Q171" s="7"/>
      <c r="R171" s="12">
        <v>45503</v>
      </c>
      <c r="S171" s="8" t="s">
        <v>69</v>
      </c>
      <c r="T171" s="7" t="s">
        <v>636</v>
      </c>
      <c r="U171" s="15"/>
    </row>
    <row r="172" spans="1:21" x14ac:dyDescent="0.25">
      <c r="A172" s="15"/>
      <c r="B172" s="3">
        <v>139</v>
      </c>
      <c r="C172" s="3" t="s">
        <v>21</v>
      </c>
      <c r="D172" s="4" t="s">
        <v>580</v>
      </c>
      <c r="E172" s="4">
        <v>3</v>
      </c>
      <c r="F172" s="3" t="s">
        <v>233</v>
      </c>
      <c r="G172" s="6" t="s">
        <v>581</v>
      </c>
      <c r="H172" s="14" t="s">
        <v>642</v>
      </c>
      <c r="I172" s="48">
        <v>302</v>
      </c>
      <c r="J172" s="14" t="s">
        <v>643</v>
      </c>
      <c r="K172" s="4" t="s">
        <v>58</v>
      </c>
      <c r="L172" s="4" t="s">
        <v>598</v>
      </c>
      <c r="M172" s="4" t="s">
        <v>29</v>
      </c>
      <c r="N172" s="4" t="s">
        <v>30</v>
      </c>
      <c r="O172" s="4" t="s">
        <v>232</v>
      </c>
      <c r="P172" s="4" t="s">
        <v>644</v>
      </c>
      <c r="Q172" s="3"/>
      <c r="R172" s="11">
        <v>45465</v>
      </c>
      <c r="S172" s="4" t="s">
        <v>69</v>
      </c>
      <c r="T172" s="4" t="s">
        <v>636</v>
      </c>
      <c r="U172" s="15"/>
    </row>
    <row r="173" spans="1:21" x14ac:dyDescent="0.25">
      <c r="A173" s="15"/>
      <c r="B173" s="7">
        <v>140</v>
      </c>
      <c r="C173" s="7" t="s">
        <v>21</v>
      </c>
      <c r="D173" s="8" t="s">
        <v>580</v>
      </c>
      <c r="E173" s="8">
        <v>3</v>
      </c>
      <c r="F173" s="7" t="s">
        <v>544</v>
      </c>
      <c r="G173" s="10" t="s">
        <v>581</v>
      </c>
      <c r="H173" s="13" t="s">
        <v>645</v>
      </c>
      <c r="I173" s="47">
        <f>100+50</f>
        <v>150</v>
      </c>
      <c r="J173" s="13" t="s">
        <v>646</v>
      </c>
      <c r="K173" s="8" t="s">
        <v>58</v>
      </c>
      <c r="L173" s="8" t="s">
        <v>598</v>
      </c>
      <c r="M173" s="8" t="s">
        <v>29</v>
      </c>
      <c r="N173" s="8" t="s">
        <v>30</v>
      </c>
      <c r="O173" s="8" t="s">
        <v>232</v>
      </c>
      <c r="P173" s="8" t="s">
        <v>647</v>
      </c>
      <c r="Q173" s="7"/>
      <c r="R173" s="12">
        <v>45560</v>
      </c>
      <c r="S173" s="8" t="s">
        <v>69</v>
      </c>
      <c r="T173" s="7" t="s">
        <v>648</v>
      </c>
      <c r="U173" s="15"/>
    </row>
    <row r="174" spans="1:21" x14ac:dyDescent="0.25">
      <c r="A174" s="15"/>
      <c r="B174" s="3">
        <v>141.1</v>
      </c>
      <c r="C174" s="3" t="s">
        <v>21</v>
      </c>
      <c r="D174" s="4" t="s">
        <v>580</v>
      </c>
      <c r="E174" s="4">
        <v>3</v>
      </c>
      <c r="F174" s="3" t="s">
        <v>233</v>
      </c>
      <c r="G174" s="6" t="s">
        <v>581</v>
      </c>
      <c r="H174" s="14" t="s">
        <v>649</v>
      </c>
      <c r="I174" s="48">
        <v>437</v>
      </c>
      <c r="J174" s="14" t="s">
        <v>650</v>
      </c>
      <c r="K174" s="4" t="s">
        <v>58</v>
      </c>
      <c r="L174" s="4" t="s">
        <v>598</v>
      </c>
      <c r="M174" s="4" t="s">
        <v>29</v>
      </c>
      <c r="N174" s="4" t="s">
        <v>30</v>
      </c>
      <c r="O174" s="4" t="s">
        <v>162</v>
      </c>
      <c r="P174" s="4" t="s">
        <v>651</v>
      </c>
      <c r="Q174" s="3"/>
      <c r="R174" s="11" t="s">
        <v>652</v>
      </c>
      <c r="S174" s="4" t="s">
        <v>69</v>
      </c>
      <c r="T174" s="4" t="s">
        <v>648</v>
      </c>
      <c r="U174" s="15"/>
    </row>
    <row r="175" spans="1:21" x14ac:dyDescent="0.25">
      <c r="A175" s="15"/>
      <c r="B175" s="7">
        <v>141.19999999999999</v>
      </c>
      <c r="C175" s="7" t="s">
        <v>21</v>
      </c>
      <c r="D175" s="8" t="s">
        <v>580</v>
      </c>
      <c r="E175" s="8">
        <v>3</v>
      </c>
      <c r="F175" s="7" t="s">
        <v>233</v>
      </c>
      <c r="G175" s="10" t="s">
        <v>581</v>
      </c>
      <c r="H175" s="13" t="s">
        <v>653</v>
      </c>
      <c r="I175" s="47">
        <v>9443</v>
      </c>
      <c r="J175" s="13" t="s">
        <v>650</v>
      </c>
      <c r="K175" s="8" t="s">
        <v>58</v>
      </c>
      <c r="L175" s="8" t="s">
        <v>598</v>
      </c>
      <c r="M175" s="8" t="s">
        <v>29</v>
      </c>
      <c r="N175" s="8" t="s">
        <v>30</v>
      </c>
      <c r="O175" s="8" t="s">
        <v>162</v>
      </c>
      <c r="P175" s="8" t="s">
        <v>654</v>
      </c>
      <c r="Q175" s="99" t="s">
        <v>832</v>
      </c>
      <c r="R175" s="12" t="s">
        <v>655</v>
      </c>
      <c r="S175" s="8" t="s">
        <v>69</v>
      </c>
      <c r="T175" s="7" t="s">
        <v>648</v>
      </c>
      <c r="U175" s="15"/>
    </row>
    <row r="176" spans="1:21" x14ac:dyDescent="0.25">
      <c r="A176" s="15"/>
      <c r="B176" s="3">
        <v>142</v>
      </c>
      <c r="C176" s="3" t="s">
        <v>21</v>
      </c>
      <c r="D176" s="4" t="s">
        <v>580</v>
      </c>
      <c r="E176" s="4">
        <v>3</v>
      </c>
      <c r="F176" s="3" t="s">
        <v>365</v>
      </c>
      <c r="G176" s="6" t="s">
        <v>581</v>
      </c>
      <c r="H176" s="14" t="s">
        <v>656</v>
      </c>
      <c r="I176" s="48">
        <f>5200+6800</f>
        <v>12000</v>
      </c>
      <c r="J176" s="14" t="s">
        <v>657</v>
      </c>
      <c r="K176" s="4" t="s">
        <v>58</v>
      </c>
      <c r="L176" s="4" t="s">
        <v>598</v>
      </c>
      <c r="M176" s="4" t="s">
        <v>29</v>
      </c>
      <c r="N176" s="4" t="s">
        <v>30</v>
      </c>
      <c r="O176" s="4" t="s">
        <v>31</v>
      </c>
      <c r="P176" s="4" t="s">
        <v>658</v>
      </c>
      <c r="Q176" s="3" t="s">
        <v>659</v>
      </c>
      <c r="R176" s="11">
        <v>45500</v>
      </c>
      <c r="S176" s="4" t="s">
        <v>43</v>
      </c>
      <c r="T176" s="4" t="s">
        <v>660</v>
      </c>
      <c r="U176" s="15"/>
    </row>
    <row r="177" spans="1:21" x14ac:dyDescent="0.25">
      <c r="A177" s="15"/>
      <c r="B177" s="7">
        <v>143.1</v>
      </c>
      <c r="C177" s="7" t="s">
        <v>21</v>
      </c>
      <c r="D177" s="8" t="s">
        <v>580</v>
      </c>
      <c r="E177" s="8">
        <v>3</v>
      </c>
      <c r="F177" s="7" t="s">
        <v>233</v>
      </c>
      <c r="G177" s="10" t="s">
        <v>581</v>
      </c>
      <c r="H177" s="13" t="s">
        <v>661</v>
      </c>
      <c r="I177" s="126">
        <v>545</v>
      </c>
      <c r="J177" s="13" t="s">
        <v>662</v>
      </c>
      <c r="K177" s="8" t="s">
        <v>58</v>
      </c>
      <c r="L177" s="8" t="s">
        <v>40</v>
      </c>
      <c r="M177" s="8" t="s">
        <v>29</v>
      </c>
      <c r="N177" s="8" t="s">
        <v>30</v>
      </c>
      <c r="O177" s="8" t="s">
        <v>31</v>
      </c>
      <c r="P177" s="8" t="s">
        <v>663</v>
      </c>
      <c r="Q177" s="7"/>
      <c r="R177" s="12">
        <v>45378</v>
      </c>
      <c r="S177" s="8" t="s">
        <v>34</v>
      </c>
      <c r="T177" s="7" t="s">
        <v>664</v>
      </c>
      <c r="U177" s="15"/>
    </row>
    <row r="178" spans="1:21" x14ac:dyDescent="0.25">
      <c r="A178" s="15"/>
      <c r="B178" s="3">
        <v>143.19999999999999</v>
      </c>
      <c r="C178" s="3" t="s">
        <v>21</v>
      </c>
      <c r="D178" s="4" t="s">
        <v>580</v>
      </c>
      <c r="E178" s="4">
        <v>3</v>
      </c>
      <c r="F178" s="3" t="s">
        <v>233</v>
      </c>
      <c r="G178" s="6" t="s">
        <v>581</v>
      </c>
      <c r="H178" s="14" t="s">
        <v>665</v>
      </c>
      <c r="I178" s="134">
        <v>2300</v>
      </c>
      <c r="J178" s="14" t="s">
        <v>662</v>
      </c>
      <c r="K178" s="4" t="s">
        <v>58</v>
      </c>
      <c r="L178" s="4" t="s">
        <v>40</v>
      </c>
      <c r="M178" s="4" t="s">
        <v>29</v>
      </c>
      <c r="N178" s="4" t="s">
        <v>30</v>
      </c>
      <c r="O178" s="4" t="s">
        <v>31</v>
      </c>
      <c r="P178" s="4" t="s">
        <v>666</v>
      </c>
      <c r="Q178" s="3"/>
      <c r="R178" s="11">
        <v>45378</v>
      </c>
      <c r="S178" s="4" t="s">
        <v>34</v>
      </c>
      <c r="T178" s="4" t="s">
        <v>664</v>
      </c>
      <c r="U178" s="15"/>
    </row>
    <row r="179" spans="1:21" x14ac:dyDescent="0.25">
      <c r="A179" s="15"/>
      <c r="B179" s="7">
        <v>144</v>
      </c>
      <c r="C179" s="7" t="s">
        <v>21</v>
      </c>
      <c r="D179" s="8" t="s">
        <v>580</v>
      </c>
      <c r="E179" s="8">
        <v>3</v>
      </c>
      <c r="F179" s="7" t="s">
        <v>365</v>
      </c>
      <c r="G179" s="10" t="s">
        <v>581</v>
      </c>
      <c r="H179" s="13" t="s">
        <v>667</v>
      </c>
      <c r="I179" s="47">
        <f>312+188</f>
        <v>500</v>
      </c>
      <c r="J179" s="13" t="s">
        <v>668</v>
      </c>
      <c r="K179" s="8" t="s">
        <v>58</v>
      </c>
      <c r="L179" s="8" t="s">
        <v>598</v>
      </c>
      <c r="M179" s="8" t="s">
        <v>29</v>
      </c>
      <c r="N179" s="8" t="s">
        <v>30</v>
      </c>
      <c r="O179" s="8" t="s">
        <v>232</v>
      </c>
      <c r="P179" s="8" t="s">
        <v>669</v>
      </c>
      <c r="Q179" s="7"/>
      <c r="R179" s="12">
        <v>45526</v>
      </c>
      <c r="S179" s="8" t="s">
        <v>34</v>
      </c>
      <c r="T179" s="7" t="s">
        <v>670</v>
      </c>
      <c r="U179" s="15"/>
    </row>
    <row r="180" spans="1:21" x14ac:dyDescent="0.25">
      <c r="A180" s="15"/>
      <c r="B180" s="3">
        <v>145</v>
      </c>
      <c r="C180" s="3" t="s">
        <v>21</v>
      </c>
      <c r="D180" s="4" t="s">
        <v>580</v>
      </c>
      <c r="E180" s="4">
        <v>3</v>
      </c>
      <c r="F180" s="3" t="s">
        <v>549</v>
      </c>
      <c r="G180" s="6" t="s">
        <v>581</v>
      </c>
      <c r="H180" s="14" t="s">
        <v>671</v>
      </c>
      <c r="I180" s="48">
        <f>21518-21000</f>
        <v>518</v>
      </c>
      <c r="J180" s="14" t="s">
        <v>672</v>
      </c>
      <c r="K180" s="4" t="s">
        <v>58</v>
      </c>
      <c r="L180" s="4" t="s">
        <v>40</v>
      </c>
      <c r="M180" s="4" t="s">
        <v>29</v>
      </c>
      <c r="N180" s="4" t="s">
        <v>30</v>
      </c>
      <c r="O180" s="4" t="s">
        <v>95</v>
      </c>
      <c r="P180" s="4" t="s">
        <v>673</v>
      </c>
      <c r="Q180" s="3"/>
      <c r="R180" s="11">
        <v>45657</v>
      </c>
      <c r="S180" s="4" t="s">
        <v>34</v>
      </c>
      <c r="T180" s="4" t="s">
        <v>664</v>
      </c>
      <c r="U180" s="15"/>
    </row>
    <row r="181" spans="1:21" x14ac:dyDescent="0.25">
      <c r="A181" s="15"/>
      <c r="B181" s="7">
        <v>146</v>
      </c>
      <c r="C181" s="7" t="s">
        <v>21</v>
      </c>
      <c r="D181" s="8" t="s">
        <v>580</v>
      </c>
      <c r="E181" s="8">
        <v>3</v>
      </c>
      <c r="F181" s="7" t="s">
        <v>544</v>
      </c>
      <c r="G181" s="10" t="s">
        <v>581</v>
      </c>
      <c r="H181" s="13" t="s">
        <v>674</v>
      </c>
      <c r="I181" s="47">
        <v>52000</v>
      </c>
      <c r="J181" s="13" t="s">
        <v>675</v>
      </c>
      <c r="K181" s="8" t="s">
        <v>58</v>
      </c>
      <c r="L181" s="8" t="s">
        <v>598</v>
      </c>
      <c r="M181" s="8" t="s">
        <v>29</v>
      </c>
      <c r="N181" s="8" t="s">
        <v>30</v>
      </c>
      <c r="O181" s="8" t="s">
        <v>58</v>
      </c>
      <c r="P181" s="8" t="s">
        <v>676</v>
      </c>
      <c r="Q181" s="7" t="s">
        <v>677</v>
      </c>
      <c r="R181" s="12">
        <v>46023</v>
      </c>
      <c r="S181" s="8" t="s">
        <v>69</v>
      </c>
      <c r="T181" s="7" t="s">
        <v>326</v>
      </c>
      <c r="U181" s="15"/>
    </row>
    <row r="182" spans="1:21" x14ac:dyDescent="0.25">
      <c r="A182" s="15"/>
      <c r="B182" s="3">
        <v>147.1</v>
      </c>
      <c r="C182" s="3" t="s">
        <v>21</v>
      </c>
      <c r="D182" s="4" t="s">
        <v>580</v>
      </c>
      <c r="E182" s="4">
        <v>4</v>
      </c>
      <c r="F182" s="3" t="s">
        <v>678</v>
      </c>
      <c r="G182" s="6" t="s">
        <v>581</v>
      </c>
      <c r="H182" s="14" t="s">
        <v>679</v>
      </c>
      <c r="I182" s="48">
        <f>28062-18</f>
        <v>28044</v>
      </c>
      <c r="J182" s="14" t="s">
        <v>680</v>
      </c>
      <c r="K182" s="4" t="s">
        <v>58</v>
      </c>
      <c r="L182" s="4" t="s">
        <v>40</v>
      </c>
      <c r="M182" s="4" t="s">
        <v>29</v>
      </c>
      <c r="N182" s="4" t="s">
        <v>29</v>
      </c>
      <c r="O182" s="4" t="s">
        <v>58</v>
      </c>
      <c r="P182" s="4" t="s">
        <v>58</v>
      </c>
      <c r="Q182" s="3" t="s">
        <v>58</v>
      </c>
      <c r="R182" s="11">
        <v>46288</v>
      </c>
      <c r="S182" s="4" t="s">
        <v>69</v>
      </c>
      <c r="T182" s="86" t="s">
        <v>681</v>
      </c>
      <c r="U182" s="15"/>
    </row>
    <row r="183" spans="1:21" x14ac:dyDescent="0.25">
      <c r="A183" s="15"/>
      <c r="B183" s="7">
        <v>147.19999999999999</v>
      </c>
      <c r="C183" s="7" t="s">
        <v>21</v>
      </c>
      <c r="D183" s="8" t="s">
        <v>580</v>
      </c>
      <c r="E183" s="8">
        <v>4</v>
      </c>
      <c r="F183" s="7" t="s">
        <v>678</v>
      </c>
      <c r="G183" s="10" t="s">
        <v>581</v>
      </c>
      <c r="H183" s="13" t="s">
        <v>682</v>
      </c>
      <c r="I183" s="47">
        <v>7938</v>
      </c>
      <c r="J183" s="13" t="s">
        <v>680</v>
      </c>
      <c r="K183" s="8" t="s">
        <v>58</v>
      </c>
      <c r="L183" s="8" t="s">
        <v>40</v>
      </c>
      <c r="M183" s="8" t="s">
        <v>30</v>
      </c>
      <c r="N183" s="8" t="s">
        <v>29</v>
      </c>
      <c r="O183" s="86" t="s">
        <v>162</v>
      </c>
      <c r="P183" s="8" t="s">
        <v>683</v>
      </c>
      <c r="Q183" s="7" t="s">
        <v>58</v>
      </c>
      <c r="R183" s="12">
        <v>45473</v>
      </c>
      <c r="S183" s="8" t="s">
        <v>69</v>
      </c>
      <c r="T183" s="99" t="s">
        <v>808</v>
      </c>
      <c r="U183" s="15"/>
    </row>
    <row r="184" spans="1:21" x14ac:dyDescent="0.25">
      <c r="A184" s="15"/>
      <c r="B184" s="40">
        <v>148</v>
      </c>
      <c r="C184" s="40" t="s">
        <v>21</v>
      </c>
      <c r="D184" s="41" t="s">
        <v>333</v>
      </c>
      <c r="E184" s="41">
        <v>3</v>
      </c>
      <c r="F184" s="40" t="s">
        <v>365</v>
      </c>
      <c r="G184" s="42" t="s">
        <v>335</v>
      </c>
      <c r="H184" s="43" t="s">
        <v>685</v>
      </c>
      <c r="I184" s="44">
        <v>195412.8</v>
      </c>
      <c r="J184" s="43" t="s">
        <v>686</v>
      </c>
      <c r="K184" s="41" t="s">
        <v>58</v>
      </c>
      <c r="L184" s="41" t="s">
        <v>28</v>
      </c>
      <c r="M184" s="41" t="s">
        <v>30</v>
      </c>
      <c r="N184" s="41" t="s">
        <v>29</v>
      </c>
      <c r="O184" s="41" t="s">
        <v>95</v>
      </c>
      <c r="P184" s="41" t="s">
        <v>687</v>
      </c>
      <c r="Q184" s="41"/>
      <c r="R184" s="45">
        <v>45453</v>
      </c>
      <c r="S184" s="41" t="s">
        <v>34</v>
      </c>
      <c r="T184" s="41" t="s">
        <v>688</v>
      </c>
      <c r="U184" s="15"/>
    </row>
    <row r="185" spans="1:21" x14ac:dyDescent="0.25">
      <c r="A185" s="15"/>
      <c r="B185" s="34">
        <v>149</v>
      </c>
      <c r="C185" s="34" t="s">
        <v>21</v>
      </c>
      <c r="D185" s="35" t="s">
        <v>333</v>
      </c>
      <c r="E185" s="35">
        <v>4</v>
      </c>
      <c r="F185" s="34" t="s">
        <v>689</v>
      </c>
      <c r="G185" s="36" t="s">
        <v>335</v>
      </c>
      <c r="H185" s="37" t="s">
        <v>690</v>
      </c>
      <c r="I185" s="101">
        <f>1175040+324960-1588-42200-57150</f>
        <v>1399062</v>
      </c>
      <c r="J185" s="37" t="s">
        <v>691</v>
      </c>
      <c r="K185" s="35" t="s">
        <v>58</v>
      </c>
      <c r="L185" s="35" t="s">
        <v>28</v>
      </c>
      <c r="M185" s="35" t="s">
        <v>29</v>
      </c>
      <c r="N185" s="35" t="s">
        <v>29</v>
      </c>
      <c r="O185" s="35" t="s">
        <v>95</v>
      </c>
      <c r="P185" s="35" t="s">
        <v>692</v>
      </c>
      <c r="Q185" s="99" t="s">
        <v>831</v>
      </c>
      <c r="R185" s="39">
        <v>45646</v>
      </c>
      <c r="S185" s="35" t="s">
        <v>69</v>
      </c>
      <c r="T185" s="35" t="s">
        <v>379</v>
      </c>
      <c r="U185" s="15"/>
    </row>
    <row r="186" spans="1:21" x14ac:dyDescent="0.25">
      <c r="A186" s="15"/>
      <c r="B186" s="3">
        <v>150</v>
      </c>
      <c r="C186" s="3" t="s">
        <v>21</v>
      </c>
      <c r="D186" s="4" t="s">
        <v>22</v>
      </c>
      <c r="E186" s="4">
        <v>3</v>
      </c>
      <c r="F186" s="3"/>
      <c r="G186" s="6" t="s">
        <v>24</v>
      </c>
      <c r="H186" s="14" t="s">
        <v>693</v>
      </c>
      <c r="I186" s="48">
        <v>10000</v>
      </c>
      <c r="J186" s="14" t="s">
        <v>694</v>
      </c>
      <c r="K186" s="4" t="s">
        <v>281</v>
      </c>
      <c r="L186" s="4" t="s">
        <v>695</v>
      </c>
      <c r="M186" s="4" t="s">
        <v>30</v>
      </c>
      <c r="N186" s="4" t="s">
        <v>29</v>
      </c>
      <c r="O186" s="4" t="s">
        <v>162</v>
      </c>
      <c r="P186" s="4" t="s">
        <v>696</v>
      </c>
      <c r="Q186" s="3"/>
      <c r="R186" s="11">
        <v>45322</v>
      </c>
      <c r="S186" s="4" t="s">
        <v>34</v>
      </c>
      <c r="T186" s="4" t="s">
        <v>697</v>
      </c>
      <c r="U186" s="15"/>
    </row>
    <row r="187" spans="1:21" x14ac:dyDescent="0.25">
      <c r="A187" s="15"/>
      <c r="B187" s="7">
        <v>151</v>
      </c>
      <c r="C187" s="7" t="s">
        <v>21</v>
      </c>
      <c r="D187" s="8" t="s">
        <v>22</v>
      </c>
      <c r="E187" s="8">
        <v>3</v>
      </c>
      <c r="F187" s="7"/>
      <c r="G187" s="10" t="s">
        <v>24</v>
      </c>
      <c r="H187" s="13" t="s">
        <v>698</v>
      </c>
      <c r="I187" s="126">
        <f>150000+150396+72004</f>
        <v>372400</v>
      </c>
      <c r="J187" s="13" t="s">
        <v>699</v>
      </c>
      <c r="K187" s="8" t="s">
        <v>133</v>
      </c>
      <c r="L187" s="8" t="s">
        <v>40</v>
      </c>
      <c r="M187" s="8" t="s">
        <v>30</v>
      </c>
      <c r="N187" s="8" t="s">
        <v>29</v>
      </c>
      <c r="O187" s="8" t="s">
        <v>95</v>
      </c>
      <c r="P187" s="8" t="s">
        <v>700</v>
      </c>
      <c r="Q187" s="7"/>
      <c r="R187" s="12">
        <v>45323</v>
      </c>
      <c r="S187" s="8" t="s">
        <v>34</v>
      </c>
      <c r="T187" s="107" t="s">
        <v>839</v>
      </c>
      <c r="U187" s="15"/>
    </row>
    <row r="188" spans="1:21" x14ac:dyDescent="0.25">
      <c r="A188" s="15"/>
      <c r="B188" s="3">
        <v>152</v>
      </c>
      <c r="C188" s="3" t="s">
        <v>21</v>
      </c>
      <c r="D188" s="4" t="s">
        <v>22</v>
      </c>
      <c r="E188" s="4">
        <v>4</v>
      </c>
      <c r="F188" s="3"/>
      <c r="G188" s="6" t="s">
        <v>24</v>
      </c>
      <c r="H188" s="14" t="s">
        <v>701</v>
      </c>
      <c r="I188" s="126">
        <f>3248.8+702.91</f>
        <v>3951.71</v>
      </c>
      <c r="J188" s="14" t="s">
        <v>702</v>
      </c>
      <c r="K188" s="4" t="s">
        <v>112</v>
      </c>
      <c r="L188" s="4" t="s">
        <v>40</v>
      </c>
      <c r="M188" s="4" t="s">
        <v>30</v>
      </c>
      <c r="N188" s="4" t="s">
        <v>29</v>
      </c>
      <c r="O188" s="4" t="s">
        <v>162</v>
      </c>
      <c r="P188" s="4" t="s">
        <v>703</v>
      </c>
      <c r="Q188" s="3"/>
      <c r="R188" s="11">
        <v>45322</v>
      </c>
      <c r="S188" s="4" t="s">
        <v>34</v>
      </c>
      <c r="T188" s="4" t="s">
        <v>828</v>
      </c>
      <c r="U188" s="15"/>
    </row>
    <row r="189" spans="1:21" x14ac:dyDescent="0.25">
      <c r="A189" s="15"/>
      <c r="B189" s="7">
        <v>153</v>
      </c>
      <c r="C189" s="7" t="s">
        <v>21</v>
      </c>
      <c r="D189" s="8" t="s">
        <v>704</v>
      </c>
      <c r="E189" s="8">
        <v>3</v>
      </c>
      <c r="F189" s="7" t="s">
        <v>705</v>
      </c>
      <c r="G189" s="10" t="s">
        <v>335</v>
      </c>
      <c r="H189" s="13" t="s">
        <v>706</v>
      </c>
      <c r="I189" s="47">
        <v>223229.1</v>
      </c>
      <c r="J189" s="13" t="s">
        <v>707</v>
      </c>
      <c r="K189" s="8" t="s">
        <v>58</v>
      </c>
      <c r="L189" s="8" t="s">
        <v>695</v>
      </c>
      <c r="M189" s="8" t="s">
        <v>29</v>
      </c>
      <c r="N189" s="8" t="s">
        <v>30</v>
      </c>
      <c r="O189" s="8" t="s">
        <v>58</v>
      </c>
      <c r="P189" s="8" t="s">
        <v>708</v>
      </c>
      <c r="Q189" s="7"/>
      <c r="R189" s="12" t="s">
        <v>58</v>
      </c>
      <c r="S189" s="8" t="s">
        <v>58</v>
      </c>
      <c r="T189" s="7"/>
      <c r="U189" s="15"/>
    </row>
    <row r="190" spans="1:21" x14ac:dyDescent="0.25">
      <c r="A190" s="15"/>
      <c r="B190" s="3">
        <v>154</v>
      </c>
      <c r="C190" s="3" t="s">
        <v>21</v>
      </c>
      <c r="D190" s="4" t="s">
        <v>22</v>
      </c>
      <c r="E190" s="4">
        <v>3</v>
      </c>
      <c r="F190" s="3" t="s">
        <v>709</v>
      </c>
      <c r="G190" s="6" t="s">
        <v>24</v>
      </c>
      <c r="H190" s="14" t="s">
        <v>710</v>
      </c>
      <c r="I190" s="48">
        <v>12000</v>
      </c>
      <c r="J190" s="14" t="s">
        <v>711</v>
      </c>
      <c r="K190" s="4" t="s">
        <v>133</v>
      </c>
      <c r="L190" s="4" t="s">
        <v>40</v>
      </c>
      <c r="M190" s="4" t="s">
        <v>29</v>
      </c>
      <c r="N190" s="4" t="s">
        <v>30</v>
      </c>
      <c r="O190" s="4" t="s">
        <v>162</v>
      </c>
      <c r="P190" s="4" t="s">
        <v>712</v>
      </c>
      <c r="Q190" s="99" t="s">
        <v>829</v>
      </c>
      <c r="R190" s="11">
        <v>45322</v>
      </c>
      <c r="S190" s="4" t="s">
        <v>34</v>
      </c>
      <c r="T190" s="86" t="s">
        <v>840</v>
      </c>
      <c r="U190" s="15"/>
    </row>
    <row r="191" spans="1:21" x14ac:dyDescent="0.25">
      <c r="A191" s="15"/>
      <c r="B191" s="40">
        <v>155</v>
      </c>
      <c r="C191" s="40" t="s">
        <v>21</v>
      </c>
      <c r="D191" s="41" t="s">
        <v>333</v>
      </c>
      <c r="E191" s="41">
        <v>3</v>
      </c>
      <c r="F191" s="40" t="s">
        <v>396</v>
      </c>
      <c r="G191" s="42" t="s">
        <v>335</v>
      </c>
      <c r="H191" s="43" t="s">
        <v>714</v>
      </c>
      <c r="I191" s="44">
        <v>22266.86</v>
      </c>
      <c r="J191" s="43" t="s">
        <v>460</v>
      </c>
      <c r="K191" s="41" t="s">
        <v>58</v>
      </c>
      <c r="L191" s="41" t="s">
        <v>40</v>
      </c>
      <c r="M191" s="41" t="s">
        <v>29</v>
      </c>
      <c r="N191" s="41" t="s">
        <v>30</v>
      </c>
      <c r="O191" s="41" t="s">
        <v>49</v>
      </c>
      <c r="P191" s="41" t="s">
        <v>715</v>
      </c>
      <c r="Q191" s="41" t="s">
        <v>716</v>
      </c>
      <c r="R191" s="45">
        <v>44896</v>
      </c>
      <c r="S191" s="41" t="s">
        <v>34</v>
      </c>
      <c r="T191" s="41" t="s">
        <v>461</v>
      </c>
      <c r="U191" s="15"/>
    </row>
    <row r="192" spans="1:21" x14ac:dyDescent="0.25">
      <c r="A192" s="15"/>
      <c r="B192" s="34">
        <v>156</v>
      </c>
      <c r="C192" s="34" t="s">
        <v>21</v>
      </c>
      <c r="D192" s="35" t="s">
        <v>333</v>
      </c>
      <c r="E192" s="35">
        <v>3</v>
      </c>
      <c r="F192" s="34" t="s">
        <v>359</v>
      </c>
      <c r="G192" s="36" t="s">
        <v>335</v>
      </c>
      <c r="H192" s="37" t="s">
        <v>717</v>
      </c>
      <c r="I192" s="38">
        <v>81333.33</v>
      </c>
      <c r="J192" s="37" t="s">
        <v>434</v>
      </c>
      <c r="K192" s="35" t="s">
        <v>58</v>
      </c>
      <c r="L192" s="35" t="s">
        <v>28</v>
      </c>
      <c r="M192" s="35" t="s">
        <v>29</v>
      </c>
      <c r="N192" s="35" t="s">
        <v>30</v>
      </c>
      <c r="O192" s="35" t="s">
        <v>49</v>
      </c>
      <c r="P192" s="35" t="s">
        <v>718</v>
      </c>
      <c r="Q192" s="34" t="s">
        <v>719</v>
      </c>
      <c r="R192" s="39">
        <v>44915</v>
      </c>
      <c r="S192" s="35" t="s">
        <v>69</v>
      </c>
      <c r="T192" s="35" t="s">
        <v>379</v>
      </c>
      <c r="U192" s="15"/>
    </row>
    <row r="193" spans="1:21" x14ac:dyDescent="0.25">
      <c r="A193" s="15"/>
      <c r="B193" s="40">
        <v>157</v>
      </c>
      <c r="C193" s="40" t="s">
        <v>21</v>
      </c>
      <c r="D193" s="41" t="s">
        <v>333</v>
      </c>
      <c r="E193" s="41">
        <v>3</v>
      </c>
      <c r="F193" s="40" t="s">
        <v>359</v>
      </c>
      <c r="G193" s="42" t="s">
        <v>335</v>
      </c>
      <c r="H193" s="43" t="s">
        <v>720</v>
      </c>
      <c r="I193" s="44">
        <v>31309.84</v>
      </c>
      <c r="J193" s="43" t="s">
        <v>721</v>
      </c>
      <c r="K193" s="41" t="s">
        <v>58</v>
      </c>
      <c r="L193" s="41" t="s">
        <v>695</v>
      </c>
      <c r="M193" s="41" t="s">
        <v>29</v>
      </c>
      <c r="N193" s="41" t="s">
        <v>30</v>
      </c>
      <c r="O193" s="41" t="s">
        <v>49</v>
      </c>
      <c r="P193" s="41" t="s">
        <v>722</v>
      </c>
      <c r="Q193" s="41" t="s">
        <v>723</v>
      </c>
      <c r="R193" s="45" t="s">
        <v>58</v>
      </c>
      <c r="S193" s="41" t="s">
        <v>34</v>
      </c>
      <c r="T193" s="41" t="s">
        <v>353</v>
      </c>
      <c r="U193" s="15"/>
    </row>
    <row r="194" spans="1:21" x14ac:dyDescent="0.25">
      <c r="A194" s="15"/>
      <c r="B194" s="34">
        <v>158</v>
      </c>
      <c r="C194" s="34" t="s">
        <v>21</v>
      </c>
      <c r="D194" s="35" t="s">
        <v>491</v>
      </c>
      <c r="E194" s="35">
        <v>3</v>
      </c>
      <c r="F194" s="34" t="s">
        <v>334</v>
      </c>
      <c r="G194" s="36" t="s">
        <v>335</v>
      </c>
      <c r="H194" s="37" t="s">
        <v>724</v>
      </c>
      <c r="I194" s="38">
        <f>1709062.87-457255.1</f>
        <v>1251807.77</v>
      </c>
      <c r="J194" s="37" t="s">
        <v>493</v>
      </c>
      <c r="K194" s="35" t="s">
        <v>58</v>
      </c>
      <c r="L194" s="35" t="s">
        <v>338</v>
      </c>
      <c r="M194" s="35" t="s">
        <v>29</v>
      </c>
      <c r="N194" s="35" t="s">
        <v>30</v>
      </c>
      <c r="O194" s="35" t="s">
        <v>49</v>
      </c>
      <c r="P194" s="35" t="s">
        <v>725</v>
      </c>
      <c r="Q194" s="34" t="s">
        <v>726</v>
      </c>
      <c r="R194" s="39" t="s">
        <v>58</v>
      </c>
      <c r="S194" s="35" t="s">
        <v>43</v>
      </c>
      <c r="T194" s="35" t="s">
        <v>494</v>
      </c>
      <c r="U194" s="15"/>
    </row>
    <row r="195" spans="1:21" x14ac:dyDescent="0.25">
      <c r="A195" s="15"/>
      <c r="B195" s="3">
        <v>159</v>
      </c>
      <c r="C195" s="3" t="s">
        <v>21</v>
      </c>
      <c r="D195" s="4" t="s">
        <v>22</v>
      </c>
      <c r="E195" s="4">
        <v>3</v>
      </c>
      <c r="F195" s="3"/>
      <c r="G195" s="6" t="s">
        <v>24</v>
      </c>
      <c r="H195" s="14" t="s">
        <v>727</v>
      </c>
      <c r="I195" s="48">
        <v>250000</v>
      </c>
      <c r="J195" s="14" t="s">
        <v>728</v>
      </c>
      <c r="K195" s="4" t="s">
        <v>133</v>
      </c>
      <c r="L195" s="4" t="s">
        <v>40</v>
      </c>
      <c r="M195" s="4" t="s">
        <v>30</v>
      </c>
      <c r="N195" s="4" t="s">
        <v>29</v>
      </c>
      <c r="O195" s="4" t="s">
        <v>95</v>
      </c>
      <c r="P195" s="4" t="s">
        <v>729</v>
      </c>
      <c r="Q195" s="3"/>
      <c r="R195" s="11">
        <v>45323</v>
      </c>
      <c r="S195" s="4" t="s">
        <v>34</v>
      </c>
      <c r="T195" s="107" t="s">
        <v>839</v>
      </c>
      <c r="U195" s="15"/>
    </row>
    <row r="196" spans="1:21" x14ac:dyDescent="0.25">
      <c r="A196" s="15"/>
      <c r="B196" s="107">
        <v>160</v>
      </c>
      <c r="C196" s="105" t="s">
        <v>21</v>
      </c>
      <c r="D196" s="104" t="s">
        <v>333</v>
      </c>
      <c r="E196" s="105">
        <v>4</v>
      </c>
      <c r="F196" s="105"/>
      <c r="G196" s="108" t="s">
        <v>335</v>
      </c>
      <c r="H196" s="109" t="s">
        <v>730</v>
      </c>
      <c r="I196" s="124">
        <v>42200</v>
      </c>
      <c r="J196" s="109" t="s">
        <v>731</v>
      </c>
      <c r="K196" s="104" t="s">
        <v>58</v>
      </c>
      <c r="L196" s="104" t="s">
        <v>28</v>
      </c>
      <c r="M196" s="104" t="s">
        <v>30</v>
      </c>
      <c r="N196" s="104" t="s">
        <v>29</v>
      </c>
      <c r="O196" s="104" t="s">
        <v>162</v>
      </c>
      <c r="P196" s="104" t="s">
        <v>732</v>
      </c>
      <c r="Q196" s="104" t="s">
        <v>733</v>
      </c>
      <c r="R196" s="110">
        <v>45311</v>
      </c>
      <c r="S196" s="104" t="s">
        <v>34</v>
      </c>
      <c r="T196" s="104" t="s">
        <v>489</v>
      </c>
      <c r="U196" s="15"/>
    </row>
    <row r="197" spans="1:21" x14ac:dyDescent="0.25">
      <c r="A197" s="15"/>
      <c r="B197" s="99">
        <v>161</v>
      </c>
      <c r="C197" s="7" t="s">
        <v>21</v>
      </c>
      <c r="D197" s="8" t="s">
        <v>22</v>
      </c>
      <c r="E197" s="8">
        <v>4</v>
      </c>
      <c r="F197" s="7"/>
      <c r="G197" s="10" t="s">
        <v>24</v>
      </c>
      <c r="H197" s="13" t="s">
        <v>825</v>
      </c>
      <c r="I197" s="126">
        <f>23057.58+5526.804+7911.65+13408.766</f>
        <v>49904.800000000003</v>
      </c>
      <c r="J197" s="13" t="s">
        <v>702</v>
      </c>
      <c r="K197" s="8" t="s">
        <v>112</v>
      </c>
      <c r="L197" s="8" t="s">
        <v>40</v>
      </c>
      <c r="M197" s="8" t="s">
        <v>30</v>
      </c>
      <c r="N197" s="8" t="s">
        <v>29</v>
      </c>
      <c r="O197" s="8" t="s">
        <v>162</v>
      </c>
      <c r="P197" s="8" t="s">
        <v>826</v>
      </c>
      <c r="Q197" s="7"/>
      <c r="R197" s="12">
        <v>45382</v>
      </c>
      <c r="S197" s="8" t="s">
        <v>34</v>
      </c>
      <c r="T197" s="7" t="s">
        <v>827</v>
      </c>
      <c r="U197" s="15"/>
    </row>
    <row r="198" spans="1:21" x14ac:dyDescent="0.25">
      <c r="A198" s="15"/>
      <c r="B198" s="107">
        <v>162</v>
      </c>
      <c r="C198" s="127" t="s">
        <v>21</v>
      </c>
      <c r="D198" s="128" t="s">
        <v>22</v>
      </c>
      <c r="E198" s="127">
        <v>3</v>
      </c>
      <c r="F198" s="127" t="s">
        <v>833</v>
      </c>
      <c r="G198" s="129" t="s">
        <v>24</v>
      </c>
      <c r="H198" s="130" t="s">
        <v>834</v>
      </c>
      <c r="I198" s="132">
        <v>2515</v>
      </c>
      <c r="J198" s="130"/>
      <c r="K198" s="128" t="s">
        <v>241</v>
      </c>
      <c r="L198" s="128" t="s">
        <v>40</v>
      </c>
      <c r="M198" s="128" t="s">
        <v>30</v>
      </c>
      <c r="N198" s="128" t="s">
        <v>29</v>
      </c>
      <c r="O198" s="128" t="s">
        <v>49</v>
      </c>
      <c r="P198" s="128" t="s">
        <v>835</v>
      </c>
      <c r="Q198" s="127"/>
      <c r="R198" s="131"/>
      <c r="S198" s="128" t="s">
        <v>34</v>
      </c>
      <c r="T198" s="128" t="s">
        <v>836</v>
      </c>
      <c r="U198" s="15"/>
    </row>
    <row r="199" spans="1:21" x14ac:dyDescent="0.25">
      <c r="A199" s="15"/>
      <c r="B199" s="99">
        <v>163</v>
      </c>
      <c r="C199" s="34" t="s">
        <v>21</v>
      </c>
      <c r="D199" s="35" t="s">
        <v>333</v>
      </c>
      <c r="E199" s="35">
        <v>4</v>
      </c>
      <c r="F199" s="34"/>
      <c r="G199" s="36" t="s">
        <v>335</v>
      </c>
      <c r="H199" s="37" t="s">
        <v>842</v>
      </c>
      <c r="I199" s="100">
        <f>57150</f>
        <v>57150</v>
      </c>
      <c r="J199" s="37" t="s">
        <v>843</v>
      </c>
      <c r="K199" s="35" t="s">
        <v>58</v>
      </c>
      <c r="L199" s="35" t="s">
        <v>28</v>
      </c>
      <c r="M199" s="35" t="s">
        <v>30</v>
      </c>
      <c r="N199" s="35" t="s">
        <v>29</v>
      </c>
      <c r="O199" s="35" t="s">
        <v>162</v>
      </c>
      <c r="P199" s="35" t="s">
        <v>844</v>
      </c>
      <c r="Q199" s="35"/>
      <c r="R199" s="39">
        <v>45463</v>
      </c>
      <c r="S199" s="35" t="s">
        <v>34</v>
      </c>
      <c r="T199" s="35" t="s">
        <v>845</v>
      </c>
      <c r="U199" s="15"/>
    </row>
    <row r="200" spans="1:21" x14ac:dyDescent="0.25">
      <c r="A200" s="15"/>
      <c r="B200" s="99">
        <v>164</v>
      </c>
      <c r="C200" s="3" t="s">
        <v>21</v>
      </c>
      <c r="D200" s="4" t="s">
        <v>535</v>
      </c>
      <c r="E200" s="4">
        <v>3</v>
      </c>
      <c r="F200" s="3" t="s">
        <v>233</v>
      </c>
      <c r="G200" s="6" t="s">
        <v>536</v>
      </c>
      <c r="H200" s="14" t="s">
        <v>846</v>
      </c>
      <c r="I200" s="126">
        <v>30000</v>
      </c>
      <c r="J200" s="14" t="s">
        <v>847</v>
      </c>
      <c r="K200" s="4" t="s">
        <v>58</v>
      </c>
      <c r="L200" s="4" t="s">
        <v>539</v>
      </c>
      <c r="M200" s="4" t="s">
        <v>30</v>
      </c>
      <c r="N200" s="4" t="s">
        <v>29</v>
      </c>
      <c r="O200" s="4" t="s">
        <v>162</v>
      </c>
      <c r="P200" s="4" t="s">
        <v>113</v>
      </c>
      <c r="Q200" s="3"/>
      <c r="R200" s="11">
        <v>45474</v>
      </c>
      <c r="S200" s="4" t="s">
        <v>69</v>
      </c>
      <c r="T200" s="4" t="s">
        <v>540</v>
      </c>
      <c r="U200" s="15"/>
    </row>
    <row r="201" spans="1:21" x14ac:dyDescent="0.25">
      <c r="A201" s="15"/>
      <c r="B201" s="99">
        <v>165</v>
      </c>
      <c r="C201" s="7" t="s">
        <v>21</v>
      </c>
      <c r="D201" s="8" t="s">
        <v>535</v>
      </c>
      <c r="E201" s="8">
        <v>3</v>
      </c>
      <c r="F201" s="7" t="s">
        <v>549</v>
      </c>
      <c r="G201" s="10" t="s">
        <v>536</v>
      </c>
      <c r="H201" s="13" t="s">
        <v>848</v>
      </c>
      <c r="I201" s="126">
        <v>251801.56</v>
      </c>
      <c r="J201" s="13" t="s">
        <v>551</v>
      </c>
      <c r="K201" s="8" t="s">
        <v>58</v>
      </c>
      <c r="L201" s="8" t="s">
        <v>539</v>
      </c>
      <c r="M201" s="8" t="s">
        <v>29</v>
      </c>
      <c r="N201" s="8" t="s">
        <v>29</v>
      </c>
      <c r="O201" s="8" t="s">
        <v>49</v>
      </c>
      <c r="P201" s="8" t="s">
        <v>113</v>
      </c>
      <c r="Q201" s="7"/>
      <c r="R201" s="12" t="s">
        <v>58</v>
      </c>
      <c r="S201" s="8" t="s">
        <v>43</v>
      </c>
      <c r="T201" s="7" t="s">
        <v>554</v>
      </c>
      <c r="U201" s="15"/>
    </row>
    <row r="202" spans="1:21" x14ac:dyDescent="0.25">
      <c r="A202" s="15"/>
      <c r="B202" s="99">
        <v>166</v>
      </c>
      <c r="C202" s="3" t="s">
        <v>21</v>
      </c>
      <c r="D202" s="4" t="s">
        <v>22</v>
      </c>
      <c r="E202" s="4">
        <v>3</v>
      </c>
      <c r="F202" s="3"/>
      <c r="G202" s="6" t="s">
        <v>24</v>
      </c>
      <c r="H202" s="14" t="s">
        <v>851</v>
      </c>
      <c r="I202" s="126">
        <v>17556.86</v>
      </c>
      <c r="J202" s="14" t="s">
        <v>852</v>
      </c>
      <c r="K202" s="4" t="s">
        <v>112</v>
      </c>
      <c r="L202" s="4" t="s">
        <v>40</v>
      </c>
      <c r="M202" s="4" t="s">
        <v>30</v>
      </c>
      <c r="N202" s="4" t="s">
        <v>29</v>
      </c>
      <c r="O202" s="4" t="s">
        <v>162</v>
      </c>
      <c r="P202" s="4" t="s">
        <v>850</v>
      </c>
      <c r="Q202" s="3"/>
      <c r="R202" s="11">
        <v>45566</v>
      </c>
      <c r="S202" s="4" t="s">
        <v>34</v>
      </c>
      <c r="T202" s="4" t="s">
        <v>853</v>
      </c>
      <c r="U202" s="15"/>
    </row>
    <row r="203" spans="1:21" x14ac:dyDescent="0.25">
      <c r="A203" s="15"/>
      <c r="B203" s="99">
        <v>167</v>
      </c>
      <c r="C203" s="7" t="s">
        <v>21</v>
      </c>
      <c r="D203" s="8" t="s">
        <v>22</v>
      </c>
      <c r="E203" s="8">
        <v>4</v>
      </c>
      <c r="F203" s="7"/>
      <c r="G203" s="10" t="s">
        <v>24</v>
      </c>
      <c r="H203" s="13" t="s">
        <v>855</v>
      </c>
      <c r="I203" s="126">
        <v>30000</v>
      </c>
      <c r="J203" s="13"/>
      <c r="K203" s="8" t="s">
        <v>190</v>
      </c>
      <c r="L203" s="8" t="s">
        <v>40</v>
      </c>
      <c r="M203" s="8" t="s">
        <v>30</v>
      </c>
      <c r="N203" s="8" t="s">
        <v>29</v>
      </c>
      <c r="O203" s="8" t="s">
        <v>95</v>
      </c>
      <c r="P203" s="8" t="s">
        <v>856</v>
      </c>
      <c r="Q203" s="7"/>
      <c r="R203" s="12">
        <v>45657</v>
      </c>
      <c r="S203" s="8" t="s">
        <v>34</v>
      </c>
      <c r="T203" s="7" t="s">
        <v>857</v>
      </c>
      <c r="U203" s="15"/>
    </row>
    <row r="204" spans="1:21" x14ac:dyDescent="0.25">
      <c r="A204" s="15"/>
      <c r="B204" s="99">
        <v>168</v>
      </c>
      <c r="C204" s="3" t="s">
        <v>21</v>
      </c>
      <c r="D204" s="4" t="s">
        <v>22</v>
      </c>
      <c r="E204" s="4">
        <v>3</v>
      </c>
      <c r="F204" s="3"/>
      <c r="G204" s="6" t="s">
        <v>24</v>
      </c>
      <c r="H204" s="14" t="s">
        <v>860</v>
      </c>
      <c r="I204" s="126">
        <v>5000</v>
      </c>
      <c r="J204" s="14" t="s">
        <v>859</v>
      </c>
      <c r="K204" s="4" t="s">
        <v>133</v>
      </c>
      <c r="L204" s="4" t="s">
        <v>40</v>
      </c>
      <c r="M204" s="4" t="s">
        <v>30</v>
      </c>
      <c r="N204" s="4" t="s">
        <v>29</v>
      </c>
      <c r="O204" s="4" t="s">
        <v>162</v>
      </c>
      <c r="P204" s="4" t="s">
        <v>858</v>
      </c>
      <c r="Q204" s="3"/>
      <c r="R204" s="11">
        <v>45383</v>
      </c>
      <c r="S204" s="4" t="s">
        <v>34</v>
      </c>
      <c r="T204" s="99" t="s">
        <v>861</v>
      </c>
      <c r="U204" s="15"/>
    </row>
    <row r="205" spans="1:21" s="15" customFormat="1" x14ac:dyDescent="0.25">
      <c r="T205" s="16"/>
    </row>
    <row r="206" spans="1:21" s="15" customFormat="1" x14ac:dyDescent="0.25">
      <c r="B206" s="31"/>
      <c r="C206" s="15" t="s">
        <v>734</v>
      </c>
      <c r="T206" s="16"/>
    </row>
    <row r="207" spans="1:21" s="15" customFormat="1" x14ac:dyDescent="0.25">
      <c r="B207" s="32"/>
      <c r="C207" s="15" t="s">
        <v>735</v>
      </c>
      <c r="T207" s="16"/>
    </row>
    <row r="208" spans="1:21" s="15" customFormat="1" x14ac:dyDescent="0.25">
      <c r="B208" s="33"/>
      <c r="C208" s="15" t="s">
        <v>736</v>
      </c>
      <c r="T208" s="16"/>
    </row>
    <row r="209" spans="8:20" s="15" customFormat="1" x14ac:dyDescent="0.25">
      <c r="T209" s="16"/>
    </row>
    <row r="210" spans="8:20" s="15" customFormat="1" x14ac:dyDescent="0.25">
      <c r="T210" s="16"/>
    </row>
    <row r="211" spans="8:20" s="15" customFormat="1" x14ac:dyDescent="0.25">
      <c r="H211" s="136"/>
      <c r="T211" s="16"/>
    </row>
    <row r="212" spans="8:20" s="15" customFormat="1" x14ac:dyDescent="0.25">
      <c r="I212" s="135"/>
      <c r="T212" s="16"/>
    </row>
    <row r="213" spans="8:20" s="15" customFormat="1" x14ac:dyDescent="0.25">
      <c r="T213" s="16"/>
    </row>
    <row r="214" spans="8:20" s="15" customFormat="1" x14ac:dyDescent="0.25">
      <c r="T214" s="16"/>
    </row>
    <row r="215" spans="8:20" s="15" customFormat="1" x14ac:dyDescent="0.25">
      <c r="T215" s="16"/>
    </row>
    <row r="216" spans="8:20" s="15" customFormat="1" x14ac:dyDescent="0.25">
      <c r="T216" s="16"/>
    </row>
    <row r="217" spans="8:20" s="15" customFormat="1" x14ac:dyDescent="0.25">
      <c r="T217" s="16"/>
    </row>
    <row r="218" spans="8:20" s="15" customFormat="1" x14ac:dyDescent="0.25">
      <c r="T218" s="16"/>
    </row>
    <row r="219" spans="8:20" s="15" customFormat="1" x14ac:dyDescent="0.25">
      <c r="T219" s="16"/>
    </row>
    <row r="220" spans="8:20" s="15" customFormat="1" x14ac:dyDescent="0.25">
      <c r="T220" s="16"/>
    </row>
    <row r="221" spans="8:20" s="15" customFormat="1" x14ac:dyDescent="0.25">
      <c r="T221" s="16"/>
    </row>
    <row r="222" spans="8:20" s="15" customFormat="1" x14ac:dyDescent="0.25">
      <c r="T222" s="16"/>
    </row>
    <row r="223" spans="8:20" s="15" customFormat="1" x14ac:dyDescent="0.25">
      <c r="T223" s="16"/>
    </row>
    <row r="224" spans="8:20" s="15" customFormat="1" x14ac:dyDescent="0.25">
      <c r="T224" s="16"/>
    </row>
    <row r="225" spans="20:20" s="15" customFormat="1" x14ac:dyDescent="0.25">
      <c r="T225" s="16"/>
    </row>
    <row r="226" spans="20:20" s="15" customFormat="1" x14ac:dyDescent="0.25">
      <c r="T226" s="16"/>
    </row>
    <row r="227" spans="20:20" s="15" customFormat="1" x14ac:dyDescent="0.25">
      <c r="T227" s="16"/>
    </row>
    <row r="228" spans="20:20" s="15" customFormat="1" x14ac:dyDescent="0.25">
      <c r="T228" s="16"/>
    </row>
    <row r="229" spans="20:20" s="15" customFormat="1" x14ac:dyDescent="0.25">
      <c r="T229" s="16"/>
    </row>
    <row r="230" spans="20:20" s="15" customFormat="1" x14ac:dyDescent="0.25">
      <c r="T230" s="16"/>
    </row>
    <row r="231" spans="20:20" s="15" customFormat="1" x14ac:dyDescent="0.25">
      <c r="T231" s="16"/>
    </row>
    <row r="232" spans="20:20" s="15" customFormat="1" x14ac:dyDescent="0.25">
      <c r="T232" s="16"/>
    </row>
    <row r="233" spans="20:20" s="15" customFormat="1" x14ac:dyDescent="0.25">
      <c r="T233" s="16"/>
    </row>
    <row r="234" spans="20:20" s="15" customFormat="1" x14ac:dyDescent="0.25">
      <c r="T234" s="16"/>
    </row>
    <row r="235" spans="20:20" s="15" customFormat="1" x14ac:dyDescent="0.25">
      <c r="T235" s="16"/>
    </row>
    <row r="236" spans="20:20" s="15" customFormat="1" x14ac:dyDescent="0.25">
      <c r="T236" s="16"/>
    </row>
    <row r="237" spans="20:20" s="15" customFormat="1" x14ac:dyDescent="0.25">
      <c r="T237" s="16"/>
    </row>
    <row r="238" spans="20:20" s="15" customFormat="1" x14ac:dyDescent="0.25">
      <c r="T238" s="16"/>
    </row>
    <row r="239" spans="20:20" s="15" customFormat="1" x14ac:dyDescent="0.25">
      <c r="T239" s="16"/>
    </row>
    <row r="240" spans="20:20" s="15" customFormat="1" x14ac:dyDescent="0.25">
      <c r="T240" s="16"/>
    </row>
    <row r="241" spans="20:20" s="15" customFormat="1" x14ac:dyDescent="0.25">
      <c r="T241" s="16"/>
    </row>
    <row r="242" spans="20:20" s="15" customFormat="1" x14ac:dyDescent="0.25">
      <c r="T242" s="16"/>
    </row>
    <row r="243" spans="20:20" s="15" customFormat="1" x14ac:dyDescent="0.25">
      <c r="T243" s="16"/>
    </row>
    <row r="244" spans="20:20" s="15" customFormat="1" x14ac:dyDescent="0.25">
      <c r="T244" s="16"/>
    </row>
    <row r="245" spans="20:20" s="15" customFormat="1" x14ac:dyDescent="0.25">
      <c r="T245" s="16"/>
    </row>
    <row r="246" spans="20:20" s="15" customFormat="1" x14ac:dyDescent="0.25">
      <c r="T246" s="16"/>
    </row>
    <row r="247" spans="20:20" s="15" customFormat="1" x14ac:dyDescent="0.25">
      <c r="T247" s="16"/>
    </row>
    <row r="248" spans="20:20" s="15" customFormat="1" x14ac:dyDescent="0.25">
      <c r="T248" s="16"/>
    </row>
    <row r="249" spans="20:20" s="15" customFormat="1" x14ac:dyDescent="0.25">
      <c r="T249" s="16"/>
    </row>
    <row r="250" spans="20:20" s="15" customFormat="1" x14ac:dyDescent="0.25">
      <c r="T250" s="16"/>
    </row>
    <row r="251" spans="20:20" s="15" customFormat="1" x14ac:dyDescent="0.25">
      <c r="T251" s="16"/>
    </row>
    <row r="252" spans="20:20" s="15" customFormat="1" x14ac:dyDescent="0.25">
      <c r="T252" s="16"/>
    </row>
    <row r="253" spans="20:20" s="15" customFormat="1" x14ac:dyDescent="0.25">
      <c r="T253" s="16"/>
    </row>
    <row r="254" spans="20:20" s="15" customFormat="1" x14ac:dyDescent="0.25">
      <c r="T254" s="16"/>
    </row>
    <row r="255" spans="20:20" s="15" customFormat="1" x14ac:dyDescent="0.25">
      <c r="T255" s="16"/>
    </row>
    <row r="256" spans="20:20" s="15" customFormat="1" x14ac:dyDescent="0.25">
      <c r="T256" s="16"/>
    </row>
    <row r="257" spans="20:20" s="15" customFormat="1" x14ac:dyDescent="0.25">
      <c r="T257" s="16"/>
    </row>
    <row r="258" spans="20:20" s="15" customFormat="1" x14ac:dyDescent="0.25">
      <c r="T258" s="16"/>
    </row>
    <row r="259" spans="20:20" s="15" customFormat="1" x14ac:dyDescent="0.25">
      <c r="T259" s="16"/>
    </row>
    <row r="260" spans="20:20" s="15" customFormat="1" x14ac:dyDescent="0.25">
      <c r="T260" s="16"/>
    </row>
    <row r="261" spans="20:20" s="15" customFormat="1" x14ac:dyDescent="0.25">
      <c r="T261" s="16"/>
    </row>
    <row r="262" spans="20:20" s="15" customFormat="1" x14ac:dyDescent="0.25">
      <c r="T262" s="16"/>
    </row>
    <row r="263" spans="20:20" s="15" customFormat="1" x14ac:dyDescent="0.25">
      <c r="T263" s="16"/>
    </row>
    <row r="264" spans="20:20" s="15" customFormat="1" x14ac:dyDescent="0.25">
      <c r="T264" s="16"/>
    </row>
    <row r="265" spans="20:20" s="15" customFormat="1" x14ac:dyDescent="0.25">
      <c r="T265" s="16"/>
    </row>
    <row r="266" spans="20:20" s="15" customFormat="1" x14ac:dyDescent="0.25">
      <c r="T266" s="16"/>
    </row>
    <row r="267" spans="20:20" s="15" customFormat="1" x14ac:dyDescent="0.25">
      <c r="T267" s="16"/>
    </row>
    <row r="268" spans="20:20" s="15" customFormat="1" x14ac:dyDescent="0.25">
      <c r="T268" s="16"/>
    </row>
    <row r="269" spans="20:20" s="15" customFormat="1" x14ac:dyDescent="0.25">
      <c r="T269" s="16"/>
    </row>
    <row r="270" spans="20:20" s="15" customFormat="1" x14ac:dyDescent="0.25">
      <c r="T270" s="16"/>
    </row>
    <row r="271" spans="20:20" s="15" customFormat="1" x14ac:dyDescent="0.25">
      <c r="T271" s="16"/>
    </row>
    <row r="272" spans="20:20" s="15" customFormat="1" x14ac:dyDescent="0.25">
      <c r="T272" s="16"/>
    </row>
    <row r="273" spans="20:20" s="15" customFormat="1" x14ac:dyDescent="0.25">
      <c r="T273" s="16"/>
    </row>
    <row r="274" spans="20:20" s="15" customFormat="1" x14ac:dyDescent="0.25">
      <c r="T274" s="16"/>
    </row>
    <row r="275" spans="20:20" s="15" customFormat="1" x14ac:dyDescent="0.25">
      <c r="T275" s="16"/>
    </row>
    <row r="276" spans="20:20" s="15" customFormat="1" x14ac:dyDescent="0.25">
      <c r="T276" s="16"/>
    </row>
    <row r="277" spans="20:20" s="15" customFormat="1" x14ac:dyDescent="0.25">
      <c r="T277" s="16"/>
    </row>
    <row r="278" spans="20:20" s="15" customFormat="1" x14ac:dyDescent="0.25">
      <c r="T278" s="16"/>
    </row>
    <row r="279" spans="20:20" s="15" customFormat="1" x14ac:dyDescent="0.25">
      <c r="T279" s="16"/>
    </row>
    <row r="280" spans="20:20" s="15" customFormat="1" x14ac:dyDescent="0.25">
      <c r="T280" s="16"/>
    </row>
    <row r="281" spans="20:20" s="15" customFormat="1" x14ac:dyDescent="0.25">
      <c r="T281" s="16"/>
    </row>
    <row r="282" spans="20:20" s="15" customFormat="1" x14ac:dyDescent="0.25">
      <c r="T282" s="16"/>
    </row>
    <row r="283" spans="20:20" s="15" customFormat="1" x14ac:dyDescent="0.25">
      <c r="T283" s="16"/>
    </row>
    <row r="284" spans="20:20" s="15" customFormat="1" x14ac:dyDescent="0.25">
      <c r="T284" s="16"/>
    </row>
    <row r="285" spans="20:20" s="15" customFormat="1" x14ac:dyDescent="0.25">
      <c r="T285" s="16"/>
    </row>
    <row r="286" spans="20:20" s="15" customFormat="1" x14ac:dyDescent="0.25">
      <c r="T286" s="16"/>
    </row>
    <row r="287" spans="20:20" s="15" customFormat="1" x14ac:dyDescent="0.25">
      <c r="T287" s="16"/>
    </row>
    <row r="288" spans="20:20" s="15" customFormat="1" x14ac:dyDescent="0.25">
      <c r="T288" s="16"/>
    </row>
    <row r="289" spans="20:20" s="15" customFormat="1" x14ac:dyDescent="0.25">
      <c r="T289" s="16"/>
    </row>
    <row r="290" spans="20:20" s="15" customFormat="1" x14ac:dyDescent="0.25">
      <c r="T290" s="16"/>
    </row>
    <row r="291" spans="20:20" s="15" customFormat="1" x14ac:dyDescent="0.25">
      <c r="T291" s="16"/>
    </row>
    <row r="292" spans="20:20" s="15" customFormat="1" x14ac:dyDescent="0.25">
      <c r="T292" s="16"/>
    </row>
    <row r="293" spans="20:20" s="15" customFormat="1" x14ac:dyDescent="0.25">
      <c r="T293" s="16"/>
    </row>
    <row r="294" spans="20:20" s="15" customFormat="1" x14ac:dyDescent="0.25">
      <c r="T294" s="16"/>
    </row>
    <row r="295" spans="20:20" s="15" customFormat="1" x14ac:dyDescent="0.25">
      <c r="T295" s="16"/>
    </row>
    <row r="296" spans="20:20" s="15" customFormat="1" x14ac:dyDescent="0.25">
      <c r="T296" s="16"/>
    </row>
    <row r="297" spans="20:20" s="15" customFormat="1" x14ac:dyDescent="0.25">
      <c r="T297" s="16"/>
    </row>
    <row r="298" spans="20:20" s="15" customFormat="1" x14ac:dyDescent="0.25">
      <c r="T298" s="16"/>
    </row>
    <row r="299" spans="20:20" s="15" customFormat="1" x14ac:dyDescent="0.25">
      <c r="T299" s="16"/>
    </row>
    <row r="300" spans="20:20" s="15" customFormat="1" x14ac:dyDescent="0.25">
      <c r="T300" s="16"/>
    </row>
    <row r="301" spans="20:20" s="15" customFormat="1" x14ac:dyDescent="0.25">
      <c r="T301" s="16"/>
    </row>
    <row r="302" spans="20:20" s="15" customFormat="1" x14ac:dyDescent="0.25">
      <c r="T302" s="16"/>
    </row>
    <row r="303" spans="20:20" s="15" customFormat="1" x14ac:dyDescent="0.25">
      <c r="T303" s="16"/>
    </row>
    <row r="304" spans="20:20" s="15" customFormat="1" x14ac:dyDescent="0.25">
      <c r="T304" s="16"/>
    </row>
    <row r="305" spans="20:20" s="15" customFormat="1" x14ac:dyDescent="0.25">
      <c r="T305" s="16"/>
    </row>
    <row r="306" spans="20:20" s="15" customFormat="1" x14ac:dyDescent="0.25">
      <c r="T306" s="16"/>
    </row>
    <row r="307" spans="20:20" s="15" customFormat="1" x14ac:dyDescent="0.25">
      <c r="T307" s="16"/>
    </row>
    <row r="308" spans="20:20" s="15" customFormat="1" x14ac:dyDescent="0.25">
      <c r="T308" s="16"/>
    </row>
    <row r="309" spans="20:20" s="15" customFormat="1" x14ac:dyDescent="0.25">
      <c r="T309" s="16"/>
    </row>
    <row r="310" spans="20:20" s="15" customFormat="1" x14ac:dyDescent="0.25">
      <c r="T310" s="16"/>
    </row>
    <row r="311" spans="20:20" s="15" customFormat="1" x14ac:dyDescent="0.25">
      <c r="T311" s="16"/>
    </row>
    <row r="312" spans="20:20" s="15" customFormat="1" x14ac:dyDescent="0.25">
      <c r="T312" s="16"/>
    </row>
    <row r="313" spans="20:20" s="15" customFormat="1" x14ac:dyDescent="0.25">
      <c r="T313" s="16"/>
    </row>
    <row r="314" spans="20:20" s="15" customFormat="1" x14ac:dyDescent="0.25">
      <c r="T314" s="16"/>
    </row>
    <row r="315" spans="20:20" s="15" customFormat="1" x14ac:dyDescent="0.25">
      <c r="T315" s="16"/>
    </row>
    <row r="316" spans="20:20" s="15" customFormat="1" x14ac:dyDescent="0.25">
      <c r="T316" s="16"/>
    </row>
    <row r="317" spans="20:20" s="15" customFormat="1" x14ac:dyDescent="0.25">
      <c r="T317" s="16"/>
    </row>
    <row r="318" spans="20:20" s="15" customFormat="1" x14ac:dyDescent="0.25">
      <c r="T318" s="16"/>
    </row>
    <row r="319" spans="20:20" s="15" customFormat="1" x14ac:dyDescent="0.25">
      <c r="T319" s="16"/>
    </row>
    <row r="320" spans="20:20" s="15" customFormat="1" x14ac:dyDescent="0.25">
      <c r="T320" s="16"/>
    </row>
    <row r="321" spans="20:20" s="15" customFormat="1" x14ac:dyDescent="0.25">
      <c r="T321" s="16"/>
    </row>
    <row r="322" spans="20:20" s="15" customFormat="1" x14ac:dyDescent="0.25">
      <c r="T322" s="16"/>
    </row>
    <row r="323" spans="20:20" s="15" customFormat="1" x14ac:dyDescent="0.25">
      <c r="T323" s="16"/>
    </row>
    <row r="324" spans="20:20" s="15" customFormat="1" x14ac:dyDescent="0.25">
      <c r="T324" s="16"/>
    </row>
    <row r="325" spans="20:20" s="15" customFormat="1" x14ac:dyDescent="0.25">
      <c r="T325" s="16"/>
    </row>
    <row r="326" spans="20:20" s="15" customFormat="1" x14ac:dyDescent="0.25">
      <c r="T326" s="16"/>
    </row>
    <row r="327" spans="20:20" s="15" customFormat="1" x14ac:dyDescent="0.25">
      <c r="T327" s="16"/>
    </row>
    <row r="328" spans="20:20" s="15" customFormat="1" x14ac:dyDescent="0.25">
      <c r="T328" s="16"/>
    </row>
    <row r="329" spans="20:20" s="15" customFormat="1" x14ac:dyDescent="0.25">
      <c r="T329" s="16"/>
    </row>
    <row r="330" spans="20:20" s="15" customFormat="1" x14ac:dyDescent="0.25">
      <c r="T330" s="16"/>
    </row>
    <row r="331" spans="20:20" s="15" customFormat="1" x14ac:dyDescent="0.25">
      <c r="T331" s="16"/>
    </row>
    <row r="332" spans="20:20" s="15" customFormat="1" x14ac:dyDescent="0.25">
      <c r="T332" s="16"/>
    </row>
    <row r="333" spans="20:20" s="15" customFormat="1" x14ac:dyDescent="0.25">
      <c r="T333" s="16"/>
    </row>
    <row r="334" spans="20:20" s="15" customFormat="1" x14ac:dyDescent="0.25">
      <c r="T334" s="16"/>
    </row>
    <row r="335" spans="20:20" s="15" customFormat="1" x14ac:dyDescent="0.25">
      <c r="T335" s="16"/>
    </row>
    <row r="336" spans="20:20" s="15" customFormat="1" x14ac:dyDescent="0.25">
      <c r="T336" s="16"/>
    </row>
    <row r="337" spans="20:20" s="15" customFormat="1" x14ac:dyDescent="0.25">
      <c r="T337" s="16"/>
    </row>
    <row r="338" spans="20:20" s="15" customFormat="1" x14ac:dyDescent="0.25">
      <c r="T338" s="16"/>
    </row>
    <row r="339" spans="20:20" s="15" customFormat="1" x14ac:dyDescent="0.25">
      <c r="T339" s="16"/>
    </row>
    <row r="340" spans="20:20" s="15" customFormat="1" x14ac:dyDescent="0.25">
      <c r="T340" s="16"/>
    </row>
    <row r="341" spans="20:20" s="15" customFormat="1" x14ac:dyDescent="0.25">
      <c r="T341" s="16"/>
    </row>
    <row r="342" spans="20:20" s="15" customFormat="1" x14ac:dyDescent="0.25">
      <c r="T342" s="16"/>
    </row>
    <row r="343" spans="20:20" s="15" customFormat="1" x14ac:dyDescent="0.25">
      <c r="T343" s="16"/>
    </row>
    <row r="344" spans="20:20" s="15" customFormat="1" x14ac:dyDescent="0.25">
      <c r="T344" s="16"/>
    </row>
    <row r="345" spans="20:20" s="15" customFormat="1" x14ac:dyDescent="0.25">
      <c r="T345" s="16"/>
    </row>
    <row r="346" spans="20:20" s="15" customFormat="1" x14ac:dyDescent="0.25">
      <c r="T346" s="16"/>
    </row>
    <row r="347" spans="20:20" s="15" customFormat="1" x14ac:dyDescent="0.25">
      <c r="T347" s="16"/>
    </row>
    <row r="348" spans="20:20" s="15" customFormat="1" x14ac:dyDescent="0.25">
      <c r="T348" s="16"/>
    </row>
    <row r="349" spans="20:20" s="15" customFormat="1" x14ac:dyDescent="0.25">
      <c r="T349" s="16"/>
    </row>
    <row r="350" spans="20:20" s="15" customFormat="1" x14ac:dyDescent="0.25">
      <c r="T350" s="16"/>
    </row>
    <row r="351" spans="20:20" s="15" customFormat="1" x14ac:dyDescent="0.25">
      <c r="T351" s="16"/>
    </row>
    <row r="352" spans="20:20" s="15" customFormat="1" x14ac:dyDescent="0.25">
      <c r="T352" s="16"/>
    </row>
    <row r="353" spans="20:20" s="15" customFormat="1" x14ac:dyDescent="0.25">
      <c r="T353" s="16"/>
    </row>
    <row r="354" spans="20:20" s="15" customFormat="1" x14ac:dyDescent="0.25">
      <c r="T354" s="16"/>
    </row>
    <row r="355" spans="20:20" s="15" customFormat="1" x14ac:dyDescent="0.25">
      <c r="T355" s="16"/>
    </row>
    <row r="356" spans="20:20" s="15" customFormat="1" x14ac:dyDescent="0.25">
      <c r="T356" s="16"/>
    </row>
    <row r="357" spans="20:20" s="15" customFormat="1" x14ac:dyDescent="0.25">
      <c r="T357" s="16"/>
    </row>
    <row r="358" spans="20:20" s="15" customFormat="1" x14ac:dyDescent="0.25">
      <c r="T358" s="16"/>
    </row>
    <row r="359" spans="20:20" s="15" customFormat="1" x14ac:dyDescent="0.25">
      <c r="T359" s="16"/>
    </row>
    <row r="360" spans="20:20" s="15" customFormat="1" x14ac:dyDescent="0.25">
      <c r="T360" s="16"/>
    </row>
    <row r="361" spans="20:20" s="15" customFormat="1" x14ac:dyDescent="0.25">
      <c r="T361" s="16"/>
    </row>
    <row r="362" spans="20:20" s="15" customFormat="1" x14ac:dyDescent="0.25">
      <c r="T362" s="16"/>
    </row>
    <row r="363" spans="20:20" s="15" customFormat="1" x14ac:dyDescent="0.25">
      <c r="T363" s="16"/>
    </row>
    <row r="364" spans="20:20" s="15" customFormat="1" x14ac:dyDescent="0.25">
      <c r="T364" s="16"/>
    </row>
    <row r="365" spans="20:20" s="15" customFormat="1" x14ac:dyDescent="0.25">
      <c r="T365" s="16"/>
    </row>
    <row r="366" spans="20:20" s="15" customFormat="1" x14ac:dyDescent="0.25">
      <c r="T366" s="16"/>
    </row>
    <row r="367" spans="20:20" s="15" customFormat="1" x14ac:dyDescent="0.25">
      <c r="T367" s="16"/>
    </row>
    <row r="368" spans="20:20" s="15" customFormat="1" x14ac:dyDescent="0.25">
      <c r="T368" s="16"/>
    </row>
    <row r="369" spans="20:20" s="15" customFormat="1" x14ac:dyDescent="0.25">
      <c r="T369" s="16"/>
    </row>
    <row r="370" spans="20:20" s="15" customFormat="1" x14ac:dyDescent="0.25">
      <c r="T370" s="16"/>
    </row>
    <row r="371" spans="20:20" s="15" customFormat="1" x14ac:dyDescent="0.25">
      <c r="T371" s="16"/>
    </row>
    <row r="372" spans="20:20" s="15" customFormat="1" x14ac:dyDescent="0.25">
      <c r="T372" s="16"/>
    </row>
    <row r="373" spans="20:20" s="15" customFormat="1" x14ac:dyDescent="0.25">
      <c r="T373" s="16"/>
    </row>
    <row r="374" spans="20:20" s="15" customFormat="1" x14ac:dyDescent="0.25">
      <c r="T374" s="16"/>
    </row>
    <row r="375" spans="20:20" s="15" customFormat="1" x14ac:dyDescent="0.25">
      <c r="T375" s="16"/>
    </row>
    <row r="376" spans="20:20" s="15" customFormat="1" x14ac:dyDescent="0.25">
      <c r="T376" s="16"/>
    </row>
    <row r="377" spans="20:20" s="15" customFormat="1" x14ac:dyDescent="0.25">
      <c r="T377" s="16"/>
    </row>
    <row r="378" spans="20:20" s="15" customFormat="1" x14ac:dyDescent="0.25">
      <c r="T378" s="16"/>
    </row>
    <row r="379" spans="20:20" s="15" customFormat="1" x14ac:dyDescent="0.25">
      <c r="T379" s="16"/>
    </row>
    <row r="380" spans="20:20" s="15" customFormat="1" x14ac:dyDescent="0.25">
      <c r="T380" s="16"/>
    </row>
    <row r="381" spans="20:20" s="15" customFormat="1" x14ac:dyDescent="0.25">
      <c r="T381" s="16"/>
    </row>
    <row r="382" spans="20:20" s="15" customFormat="1" x14ac:dyDescent="0.25">
      <c r="T382" s="16"/>
    </row>
    <row r="383" spans="20:20" s="15" customFormat="1" x14ac:dyDescent="0.25">
      <c r="T383" s="16"/>
    </row>
    <row r="384" spans="20:20" s="15" customFormat="1" x14ac:dyDescent="0.25">
      <c r="T384" s="16"/>
    </row>
    <row r="385" spans="20:20" s="15" customFormat="1" x14ac:dyDescent="0.25">
      <c r="T385" s="16"/>
    </row>
    <row r="386" spans="20:20" s="15" customFormat="1" x14ac:dyDescent="0.25">
      <c r="T386" s="16"/>
    </row>
    <row r="387" spans="20:20" s="15" customFormat="1" x14ac:dyDescent="0.25">
      <c r="T387" s="16"/>
    </row>
    <row r="388" spans="20:20" s="15" customFormat="1" x14ac:dyDescent="0.25">
      <c r="T388" s="16"/>
    </row>
    <row r="389" spans="20:20" s="15" customFormat="1" x14ac:dyDescent="0.25">
      <c r="T389" s="16"/>
    </row>
    <row r="390" spans="20:20" s="15" customFormat="1" x14ac:dyDescent="0.25">
      <c r="T390" s="16"/>
    </row>
    <row r="391" spans="20:20" s="15" customFormat="1" x14ac:dyDescent="0.25">
      <c r="T391" s="16"/>
    </row>
    <row r="392" spans="20:20" s="15" customFormat="1" x14ac:dyDescent="0.25">
      <c r="T392" s="16"/>
    </row>
    <row r="393" spans="20:20" s="15" customFormat="1" x14ac:dyDescent="0.25">
      <c r="T393" s="16"/>
    </row>
    <row r="394" spans="20:20" s="15" customFormat="1" x14ac:dyDescent="0.25">
      <c r="T394" s="16"/>
    </row>
    <row r="395" spans="20:20" s="15" customFormat="1" x14ac:dyDescent="0.25">
      <c r="T395" s="16"/>
    </row>
    <row r="396" spans="20:20" s="15" customFormat="1" x14ac:dyDescent="0.25">
      <c r="T396" s="16"/>
    </row>
    <row r="397" spans="20:20" s="15" customFormat="1" x14ac:dyDescent="0.25">
      <c r="T397" s="16"/>
    </row>
    <row r="398" spans="20:20" s="15" customFormat="1" x14ac:dyDescent="0.25">
      <c r="T398" s="16"/>
    </row>
    <row r="399" spans="20:20" s="15" customFormat="1" x14ac:dyDescent="0.25">
      <c r="T399" s="16"/>
    </row>
    <row r="400" spans="20:20" s="15" customFormat="1" x14ac:dyDescent="0.25">
      <c r="T400" s="16"/>
    </row>
    <row r="401" spans="20:20" s="15" customFormat="1" x14ac:dyDescent="0.25">
      <c r="T401" s="16"/>
    </row>
    <row r="402" spans="20:20" s="15" customFormat="1" x14ac:dyDescent="0.25">
      <c r="T402" s="16"/>
    </row>
    <row r="403" spans="20:20" s="15" customFormat="1" x14ac:dyDescent="0.25">
      <c r="T403" s="16"/>
    </row>
    <row r="404" spans="20:20" s="15" customFormat="1" x14ac:dyDescent="0.25">
      <c r="T404" s="16"/>
    </row>
    <row r="405" spans="20:20" s="15" customFormat="1" x14ac:dyDescent="0.25">
      <c r="T405" s="16"/>
    </row>
    <row r="406" spans="20:20" s="15" customFormat="1" x14ac:dyDescent="0.25">
      <c r="T406" s="16"/>
    </row>
    <row r="407" spans="20:20" s="15" customFormat="1" x14ac:dyDescent="0.25">
      <c r="T407" s="16"/>
    </row>
    <row r="408" spans="20:20" s="15" customFormat="1" x14ac:dyDescent="0.25">
      <c r="T408" s="16"/>
    </row>
    <row r="409" spans="20:20" s="15" customFormat="1" x14ac:dyDescent="0.25">
      <c r="T409" s="16"/>
    </row>
    <row r="410" spans="20:20" s="15" customFormat="1" x14ac:dyDescent="0.25">
      <c r="T410" s="16"/>
    </row>
    <row r="411" spans="20:20" s="15" customFormat="1" x14ac:dyDescent="0.25">
      <c r="T411" s="16"/>
    </row>
    <row r="412" spans="20:20" s="15" customFormat="1" x14ac:dyDescent="0.25">
      <c r="T412" s="16"/>
    </row>
    <row r="413" spans="20:20" s="15" customFormat="1" x14ac:dyDescent="0.25">
      <c r="T413" s="16"/>
    </row>
    <row r="414" spans="20:20" s="15" customFormat="1" x14ac:dyDescent="0.25">
      <c r="T414" s="16"/>
    </row>
    <row r="415" spans="20:20" s="15" customFormat="1" x14ac:dyDescent="0.25">
      <c r="T415" s="16"/>
    </row>
    <row r="416" spans="20:20" s="15" customFormat="1" x14ac:dyDescent="0.25">
      <c r="T416" s="16"/>
    </row>
    <row r="417" spans="20:20" s="15" customFormat="1" x14ac:dyDescent="0.25">
      <c r="T417" s="16"/>
    </row>
    <row r="418" spans="20:20" s="15" customFormat="1" x14ac:dyDescent="0.25">
      <c r="T418" s="16"/>
    </row>
    <row r="419" spans="20:20" s="15" customFormat="1" x14ac:dyDescent="0.25">
      <c r="T419" s="16"/>
    </row>
    <row r="420" spans="20:20" s="15" customFormat="1" x14ac:dyDescent="0.25">
      <c r="T420" s="16"/>
    </row>
    <row r="421" spans="20:20" s="15" customFormat="1" x14ac:dyDescent="0.25">
      <c r="T421" s="16"/>
    </row>
    <row r="422" spans="20:20" s="15" customFormat="1" x14ac:dyDescent="0.25">
      <c r="T422" s="16"/>
    </row>
    <row r="423" spans="20:20" s="15" customFormat="1" x14ac:dyDescent="0.25">
      <c r="T423" s="16"/>
    </row>
    <row r="424" spans="20:20" s="15" customFormat="1" x14ac:dyDescent="0.25">
      <c r="T424" s="16"/>
    </row>
    <row r="425" spans="20:20" s="15" customFormat="1" x14ac:dyDescent="0.25">
      <c r="T425" s="16"/>
    </row>
    <row r="426" spans="20:20" s="15" customFormat="1" x14ac:dyDescent="0.25">
      <c r="T426" s="16"/>
    </row>
    <row r="427" spans="20:20" s="15" customFormat="1" x14ac:dyDescent="0.25">
      <c r="T427" s="16"/>
    </row>
    <row r="428" spans="20:20" s="15" customFormat="1" x14ac:dyDescent="0.25">
      <c r="T428" s="16"/>
    </row>
    <row r="429" spans="20:20" s="15" customFormat="1" x14ac:dyDescent="0.25">
      <c r="T429" s="16"/>
    </row>
    <row r="430" spans="20:20" s="15" customFormat="1" x14ac:dyDescent="0.25">
      <c r="T430" s="16"/>
    </row>
    <row r="431" spans="20:20" s="15" customFormat="1" x14ac:dyDescent="0.25">
      <c r="T431" s="16"/>
    </row>
    <row r="432" spans="20:20" s="15" customFormat="1" x14ac:dyDescent="0.25">
      <c r="T432" s="16"/>
    </row>
    <row r="433" spans="20:20" s="15" customFormat="1" x14ac:dyDescent="0.25">
      <c r="T433" s="16"/>
    </row>
    <row r="434" spans="20:20" s="15" customFormat="1" x14ac:dyDescent="0.25">
      <c r="T434" s="16"/>
    </row>
    <row r="435" spans="20:20" s="15" customFormat="1" x14ac:dyDescent="0.25">
      <c r="T435" s="16"/>
    </row>
    <row r="436" spans="20:20" s="15" customFormat="1" x14ac:dyDescent="0.25">
      <c r="T436" s="16"/>
    </row>
    <row r="437" spans="20:20" s="15" customFormat="1" x14ac:dyDescent="0.25">
      <c r="T437" s="16"/>
    </row>
    <row r="438" spans="20:20" s="15" customFormat="1" x14ac:dyDescent="0.25">
      <c r="T438" s="16"/>
    </row>
    <row r="439" spans="20:20" s="15" customFormat="1" x14ac:dyDescent="0.25">
      <c r="T439" s="16"/>
    </row>
    <row r="440" spans="20:20" s="15" customFormat="1" x14ac:dyDescent="0.25">
      <c r="T440" s="16"/>
    </row>
    <row r="441" spans="20:20" s="15" customFormat="1" x14ac:dyDescent="0.25">
      <c r="T441" s="16"/>
    </row>
    <row r="442" spans="20:20" s="15" customFormat="1" x14ac:dyDescent="0.25">
      <c r="T442" s="16"/>
    </row>
    <row r="443" spans="20:20" s="15" customFormat="1" x14ac:dyDescent="0.25">
      <c r="T443" s="16"/>
    </row>
    <row r="444" spans="20:20" s="15" customFormat="1" x14ac:dyDescent="0.25">
      <c r="T444" s="16"/>
    </row>
    <row r="445" spans="20:20" s="15" customFormat="1" x14ac:dyDescent="0.25">
      <c r="T445" s="16"/>
    </row>
    <row r="446" spans="20:20" s="15" customFormat="1" x14ac:dyDescent="0.25">
      <c r="T446" s="16"/>
    </row>
    <row r="447" spans="20:20" s="15" customFormat="1" x14ac:dyDescent="0.25">
      <c r="T447" s="16"/>
    </row>
    <row r="448" spans="20:20" s="15" customFormat="1" x14ac:dyDescent="0.25">
      <c r="T448" s="16"/>
    </row>
    <row r="449" spans="20:20" s="15" customFormat="1" x14ac:dyDescent="0.25">
      <c r="T449" s="16"/>
    </row>
    <row r="450" spans="20:20" s="15" customFormat="1" x14ac:dyDescent="0.25">
      <c r="T450" s="16"/>
    </row>
    <row r="451" spans="20:20" s="15" customFormat="1" x14ac:dyDescent="0.25">
      <c r="T451" s="16"/>
    </row>
    <row r="452" spans="20:20" s="15" customFormat="1" x14ac:dyDescent="0.25">
      <c r="T452" s="16"/>
    </row>
    <row r="453" spans="20:20" s="15" customFormat="1" x14ac:dyDescent="0.25">
      <c r="T453" s="16"/>
    </row>
    <row r="454" spans="20:20" s="15" customFormat="1" x14ac:dyDescent="0.25">
      <c r="T454" s="16"/>
    </row>
    <row r="455" spans="20:20" s="15" customFormat="1" x14ac:dyDescent="0.25">
      <c r="T455" s="16"/>
    </row>
    <row r="456" spans="20:20" s="15" customFormat="1" x14ac:dyDescent="0.25">
      <c r="T456" s="16"/>
    </row>
    <row r="457" spans="20:20" s="15" customFormat="1" x14ac:dyDescent="0.25">
      <c r="T457" s="16"/>
    </row>
    <row r="458" spans="20:20" s="15" customFormat="1" x14ac:dyDescent="0.25">
      <c r="T458" s="16"/>
    </row>
    <row r="459" spans="20:20" s="15" customFormat="1" x14ac:dyDescent="0.25">
      <c r="T459" s="16"/>
    </row>
    <row r="460" spans="20:20" s="15" customFormat="1" x14ac:dyDescent="0.25">
      <c r="T460" s="16"/>
    </row>
    <row r="461" spans="20:20" s="15" customFormat="1" x14ac:dyDescent="0.25">
      <c r="T461" s="16"/>
    </row>
    <row r="462" spans="20:20" s="15" customFormat="1" x14ac:dyDescent="0.25">
      <c r="T462" s="16"/>
    </row>
    <row r="463" spans="20:20" s="15" customFormat="1" x14ac:dyDescent="0.25">
      <c r="T463" s="16"/>
    </row>
    <row r="464" spans="20:20" s="15" customFormat="1" x14ac:dyDescent="0.25">
      <c r="T464" s="16"/>
    </row>
    <row r="465" spans="20:20" s="15" customFormat="1" x14ac:dyDescent="0.25">
      <c r="T465" s="16"/>
    </row>
    <row r="466" spans="20:20" s="15" customFormat="1" x14ac:dyDescent="0.25">
      <c r="T466" s="16"/>
    </row>
    <row r="467" spans="20:20" s="15" customFormat="1" x14ac:dyDescent="0.25">
      <c r="T467" s="16"/>
    </row>
    <row r="468" spans="20:20" s="15" customFormat="1" x14ac:dyDescent="0.25">
      <c r="T468" s="16"/>
    </row>
    <row r="469" spans="20:20" s="15" customFormat="1" x14ac:dyDescent="0.25">
      <c r="T469" s="16"/>
    </row>
    <row r="470" spans="20:20" s="15" customFormat="1" x14ac:dyDescent="0.25">
      <c r="T470" s="16"/>
    </row>
    <row r="471" spans="20:20" s="15" customFormat="1" x14ac:dyDescent="0.25">
      <c r="T471" s="16"/>
    </row>
    <row r="472" spans="20:20" s="15" customFormat="1" x14ac:dyDescent="0.25">
      <c r="T472" s="16"/>
    </row>
    <row r="473" spans="20:20" s="15" customFormat="1" x14ac:dyDescent="0.25">
      <c r="T473" s="16"/>
    </row>
    <row r="474" spans="20:20" s="15" customFormat="1" x14ac:dyDescent="0.25">
      <c r="T474" s="16"/>
    </row>
    <row r="475" spans="20:20" s="15" customFormat="1" x14ac:dyDescent="0.25">
      <c r="T475" s="16"/>
    </row>
    <row r="476" spans="20:20" s="15" customFormat="1" x14ac:dyDescent="0.25">
      <c r="T476" s="16"/>
    </row>
    <row r="477" spans="20:20" s="15" customFormat="1" x14ac:dyDescent="0.25">
      <c r="T477" s="16"/>
    </row>
    <row r="478" spans="20:20" s="15" customFormat="1" x14ac:dyDescent="0.25">
      <c r="T478" s="16"/>
    </row>
    <row r="479" spans="20:20" s="15" customFormat="1" x14ac:dyDescent="0.25">
      <c r="T479" s="16"/>
    </row>
    <row r="480" spans="20:20" s="15" customFormat="1" x14ac:dyDescent="0.25">
      <c r="T480" s="16"/>
    </row>
    <row r="481" spans="20:20" s="15" customFormat="1" x14ac:dyDescent="0.25">
      <c r="T481" s="16"/>
    </row>
    <row r="482" spans="20:20" s="15" customFormat="1" x14ac:dyDescent="0.25">
      <c r="T482" s="16"/>
    </row>
    <row r="483" spans="20:20" s="15" customFormat="1" x14ac:dyDescent="0.25">
      <c r="T483" s="16"/>
    </row>
    <row r="484" spans="20:20" s="15" customFormat="1" x14ac:dyDescent="0.25">
      <c r="T484" s="16"/>
    </row>
    <row r="485" spans="20:20" s="15" customFormat="1" x14ac:dyDescent="0.25">
      <c r="T485" s="16"/>
    </row>
    <row r="486" spans="20:20" s="15" customFormat="1" x14ac:dyDescent="0.25">
      <c r="T486" s="16"/>
    </row>
    <row r="487" spans="20:20" s="15" customFormat="1" x14ac:dyDescent="0.25">
      <c r="T487" s="16"/>
    </row>
    <row r="488" spans="20:20" s="15" customFormat="1" x14ac:dyDescent="0.25">
      <c r="T488" s="16"/>
    </row>
    <row r="489" spans="20:20" s="15" customFormat="1" x14ac:dyDescent="0.25">
      <c r="T489" s="16"/>
    </row>
    <row r="490" spans="20:20" s="15" customFormat="1" x14ac:dyDescent="0.25">
      <c r="T490" s="16"/>
    </row>
    <row r="491" spans="20:20" s="15" customFormat="1" x14ac:dyDescent="0.25">
      <c r="T491" s="16"/>
    </row>
    <row r="492" spans="20:20" s="15" customFormat="1" x14ac:dyDescent="0.25">
      <c r="T492" s="16"/>
    </row>
    <row r="493" spans="20:20" s="15" customFormat="1" x14ac:dyDescent="0.25">
      <c r="T493" s="16"/>
    </row>
    <row r="494" spans="20:20" s="15" customFormat="1" x14ac:dyDescent="0.25">
      <c r="T494" s="16"/>
    </row>
    <row r="495" spans="20:20" s="15" customFormat="1" x14ac:dyDescent="0.25">
      <c r="T495" s="16"/>
    </row>
    <row r="496" spans="20:20" s="15" customFormat="1" x14ac:dyDescent="0.25">
      <c r="T496" s="16"/>
    </row>
    <row r="497" spans="20:20" s="15" customFormat="1" x14ac:dyDescent="0.25">
      <c r="T497" s="16"/>
    </row>
    <row r="498" spans="20:20" s="15" customFormat="1" x14ac:dyDescent="0.25">
      <c r="T498" s="16"/>
    </row>
    <row r="499" spans="20:20" s="15" customFormat="1" x14ac:dyDescent="0.25">
      <c r="T499" s="16"/>
    </row>
    <row r="500" spans="20:20" s="15" customFormat="1" x14ac:dyDescent="0.25">
      <c r="T500" s="16"/>
    </row>
    <row r="501" spans="20:20" s="15" customFormat="1" x14ac:dyDescent="0.25">
      <c r="T501" s="16"/>
    </row>
    <row r="502" spans="20:20" s="15" customFormat="1" x14ac:dyDescent="0.25">
      <c r="T502" s="16"/>
    </row>
    <row r="503" spans="20:20" s="15" customFormat="1" x14ac:dyDescent="0.25">
      <c r="T503" s="16"/>
    </row>
    <row r="504" spans="20:20" s="15" customFormat="1" x14ac:dyDescent="0.25">
      <c r="T504" s="16"/>
    </row>
    <row r="505" spans="20:20" s="15" customFormat="1" x14ac:dyDescent="0.25">
      <c r="T505" s="16"/>
    </row>
    <row r="506" spans="20:20" s="15" customFormat="1" x14ac:dyDescent="0.25">
      <c r="T506" s="16"/>
    </row>
    <row r="507" spans="20:20" s="15" customFormat="1" x14ac:dyDescent="0.25">
      <c r="T507" s="16"/>
    </row>
    <row r="508" spans="20:20" s="15" customFormat="1" x14ac:dyDescent="0.25">
      <c r="T508" s="16"/>
    </row>
    <row r="509" spans="20:20" s="15" customFormat="1" x14ac:dyDescent="0.25">
      <c r="T509" s="16"/>
    </row>
  </sheetData>
  <autoFilter ref="B6:T204" xr:uid="{00000000-0001-0000-0000-000000000000}"/>
  <dataValidations count="21">
    <dataValidation allowBlank="1" showInputMessage="1" showErrorMessage="1" promptTitle="Ação orçamentária" prompt="Informação gerada pela SOF. Para o preenchimento é preciso avaliar a tabela contida no manual de utilização do formulário de captação de demandas" sqref="C6" xr:uid="{2C304296-CA84-4637-80E9-64B08B0A51B9}"/>
    <dataValidation allowBlank="1" showInputMessage="1" showErrorMessage="1" promptTitle="Plano orçamentário" prompt="Informação gerada pela SOF. Para o preenchimento é preciso avaliar a tabela contida no manual de utilização do formulário de captação de demandas" sqref="D6" xr:uid="{819BBA7B-0762-4B99-9CC5-30B14A17A0A9}"/>
    <dataValidation allowBlank="1" showInputMessage="1" showErrorMessage="1" promptTitle="Natureza de despesa detalhada" prompt="Informação gerada pela SOF. Para o preenchimento deve-se avaliar a classificação orçamentária informada no processo SEI do objeto " sqref="F6" xr:uid="{0ECC3ADF-19B9-4D37-95F0-00B9477103AE}"/>
    <dataValidation allowBlank="1" showInputMessage="1" showErrorMessage="1" promptTitle="Demanda" prompt="Descreva o objeto da contratação resumidamente" sqref="H6" xr:uid="{7D50CDA6-0A72-45D0-A94E-97E84C364F5F}"/>
    <dataValidation allowBlank="1" showInputMessage="1" showErrorMessage="1" promptTitle="Justificativa" prompt="Descreva a justificativa da contratação do objeto" sqref="J6" xr:uid="{CE20FB1A-095F-4CB8-B2E3-E31206BDB01C}"/>
    <dataValidation allowBlank="1" showInputMessage="1" showErrorMessage="1" promptTitle="Alinhamento estratégico" prompt="Indique os objetivos estratégicos que estão alinhados ao objeto. Para o preenchimento é preciso avaliar a tabela contida no manual de utilização do formulário de captação de demandas " sqref="L6" xr:uid="{7C9C09C0-13F0-4F63-92E5-CA197E0E4440}"/>
    <dataValidation allowBlank="1" showInputMessage="1" showErrorMessage="1" promptTitle="Unidade" prompt="Não é necessário o preenchimento" sqref="G6" xr:uid="{64643A31-8E5C-4FFB-A7C1-8C82006B356D}"/>
    <dataValidation allowBlank="1" showInputMessage="1" showErrorMessage="1" promptTitle="UGR" prompt="Quando necessário, insira a unidade gestora responsável pelo objeto" sqref="K6" xr:uid="{FF4C0D24-F44C-4517-850A-B9E122820366}"/>
    <dataValidation allowBlank="1" showInputMessage="1" showErrorMessage="1" promptTitle="Nova demanda?" prompt="Selecione “Sim” ou “Não” na lista suspensa. Deve-se selecionar como “Sim” somente as demandas que não foram gastos do CNJ nos últimos 3 anos consecutivos. Caso contrário, deve-se selecionar “Não”" sqref="M6" xr:uid="{104C8E05-F056-46AC-80F1-C4C10EF0C93A}"/>
    <dataValidation allowBlank="1" showInputMessage="1" showErrorMessage="1" promptTitle="Gasto continuado?" prompt="Selecione “Sim” ou “Não” na lista suspensa. Se houve a necessidade de continuidade da demanda para os próximos 3 anos, deve-se selecionar a opção “Sim”. Caso contrário, deve-se selecionar a opção “Não”" sqref="N6" xr:uid="{A9E53736-05D2-46BA-94BF-394738EA8FE7}"/>
    <dataValidation allowBlank="1" showInputMessage="1" showErrorMessage="1" promptTitle="Tipo de aquisição" prompt="Selecione “Licitação”, “Somente execução”, “Contratação direta”, “Prorrogação”, “n/a” na lista suspensa" sqref="O6" xr:uid="{C970A3E1-2D0C-4BC2-8BCB-BB193B44FBCE}"/>
    <dataValidation allowBlank="1" showInputMessage="1" showErrorMessage="1" promptTitle="Processo SEI" prompt="Informe o processo SEI do objeto " sqref="P6" xr:uid="{E9675BF7-A4BA-44E8-9B58-DAEFBC9E7F8E}"/>
    <dataValidation allowBlank="1" showInputMessage="1" showErrorMessage="1" promptTitle="Nº do contrato, ARP ou NE" prompt="Quando houver sido gerado, registrar o número do contrato, ata de registro de preço ou nota de empenho do objeto. Caso contrário deve-se registrar n/a" sqref="Q6" xr:uid="{D1DEDA60-FB52-47A8-8202-F9C8AAA5BA35}"/>
    <dataValidation allowBlank="1" showInputMessage="1" showErrorMessage="1" promptTitle="Data de referência" prompt="Este campo deve ser preenchido somente caso o tipo de contratação seja &quot;Contratação direta&quot; ou &quot;Licitação&quot;, caso contrário preencha &quot;n/a&quot;. A data preenchida refere-se à quando a unidade demandante espera que seja iniciada a execução da contratação" sqref="R6" xr:uid="{82D86714-C3E7-4017-8236-92BE19CFD4F6}"/>
    <dataValidation allowBlank="1" showInputMessage="1" showErrorMessage="1" promptTitle="Complexidade da aquisição" prompt="Este campo deve ser preenchido somente caso o tipo de aquisição seja &quot;Aquisição direta&quot; ou &quot;Licitação&quot;, caso contrário selecione “n/a” na lista suspensa. Para a complexidade é preciso selecionar a opção que for mais adequada: &quot;Baixa&quot;, &quot;Média&quot; ou &quot;Alta&quot;" sqref="S6" xr:uid="{DCD5BB88-2747-4960-B1A2-180494B71F19}"/>
    <dataValidation type="list" allowBlank="1" showInputMessage="1" showErrorMessage="1" sqref="S173 S75 S7:S8" xr:uid="{1EB23E51-969D-4935-BE20-605CFA6DA28E}">
      <formula1>"Baixa, Média, Alta, n/a"</formula1>
    </dataValidation>
    <dataValidation type="list" allowBlank="1" showInputMessage="1" showErrorMessage="1" sqref="M7:N8 M75:N75 N173" xr:uid="{6F1B1B7D-26F6-4C52-ABB3-1D354C30DC53}">
      <formula1>"Sim, Não"</formula1>
    </dataValidation>
    <dataValidation allowBlank="1" showInputMessage="1" showErrorMessage="1" promptTitle="Classificação CATMAT / CATSER" prompt="Este campo deverá ser preenchido com o código da classe do Catálogo de Materiais e Serviços." sqref="T6" xr:uid="{F04C268B-D135-4F27-B307-B5C3CBEF0275}"/>
    <dataValidation allowBlank="1" showInputMessage="1" showErrorMessage="1" promptTitle="Captação" prompt="Insira o orçamento necessário para atender a demanda no referente _x000a_exercício" sqref="I6" xr:uid="{B12CF8BA-B44F-4ACA-9E6E-C16F4A5B6DC0}"/>
    <dataValidation allowBlank="1" showInputMessage="1" showErrorMessage="1" promptTitle="Item PCA" prompt="Não é necessário o preenchimento" sqref="B6" xr:uid="{73F0D2E5-CB9B-4EC3-9E8A-4E6C342EF916}"/>
    <dataValidation type="list" allowBlank="1" showInputMessage="1" showErrorMessage="1" sqref="O7:O204" xr:uid="{32960835-1866-45F3-ABAA-9C42A024ECAF}">
      <formula1>"Licitação, Contratação Direta, Prorrogação, Somente execução, Somente execução - Dispensa, Suprimento de fundos, n/a"</formula1>
    </dataValidation>
  </dataValidations>
  <pageMargins left="0.511811024" right="0.511811024" top="0.78740157499999996" bottom="0.78740157499999996" header="0.31496062000000002" footer="0.31496062000000002"/>
  <pageSetup paperSize="9" scale="1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V28"/>
  <sheetViews>
    <sheetView zoomScale="80" zoomScaleNormal="80" workbookViewId="0">
      <selection activeCell="H27" sqref="H27"/>
    </sheetView>
  </sheetViews>
  <sheetFormatPr defaultColWidth="0" defaultRowHeight="15" customHeight="1" zeroHeight="1" outlineLevelRow="1" x14ac:dyDescent="0.25"/>
  <cols>
    <col min="1" max="1" width="3.85546875" customWidth="1"/>
    <col min="2" max="2" width="10" customWidth="1"/>
    <col min="3" max="5" width="14.28515625" customWidth="1"/>
    <col min="6" max="6" width="20.5703125" customWidth="1"/>
    <col min="7" max="7" width="9" customWidth="1"/>
    <col min="8" max="8" width="53.5703125" customWidth="1"/>
    <col min="9" max="10" width="18.85546875" customWidth="1"/>
    <col min="11" max="11" width="15.7109375" customWidth="1"/>
    <col min="12" max="12" width="22.7109375" customWidth="1"/>
    <col min="13" max="13" width="15.140625" customWidth="1"/>
    <col min="14" max="14" width="17.85546875" customWidth="1"/>
    <col min="15" max="15" width="22" bestFit="1" customWidth="1"/>
    <col min="16" max="16" width="28.140625" customWidth="1"/>
    <col min="17" max="17" width="21.7109375" customWidth="1"/>
    <col min="18" max="18" width="17.42578125" style="23" customWidth="1"/>
    <col min="19" max="19" width="15.28515625" customWidth="1"/>
    <col min="20" max="20" width="3.85546875" customWidth="1"/>
    <col min="21" max="22" width="0" hidden="1" customWidth="1"/>
    <col min="23" max="16384" width="8.85546875" hidden="1"/>
  </cols>
  <sheetData>
    <row r="1" spans="1:20" ht="15.75" outlineLevel="1" thickBot="1" x14ac:dyDescent="0.3">
      <c r="A1" s="15"/>
      <c r="B1" s="15"/>
      <c r="C1" s="15"/>
      <c r="D1" s="15"/>
      <c r="E1" s="15"/>
      <c r="F1" s="15"/>
      <c r="G1" s="15"/>
      <c r="H1" s="16"/>
      <c r="I1" s="15"/>
      <c r="J1" s="16"/>
      <c r="K1" s="16"/>
      <c r="L1" s="15"/>
      <c r="M1" s="15"/>
      <c r="N1" s="15"/>
      <c r="O1" s="15"/>
      <c r="P1" s="15"/>
      <c r="Q1" s="15"/>
      <c r="R1" s="17"/>
      <c r="S1" s="15"/>
      <c r="T1" s="15"/>
    </row>
    <row r="2" spans="1:20" ht="26.25" outlineLevel="1" thickBot="1" x14ac:dyDescent="0.5">
      <c r="A2" s="15"/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15"/>
    </row>
    <row r="3" spans="1:20" ht="23.25" customHeight="1" outlineLevel="1" thickBot="1" x14ac:dyDescent="0.3">
      <c r="A3" s="15"/>
      <c r="B3" s="26" t="s">
        <v>737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/>
      <c r="T3" s="15"/>
    </row>
    <row r="4" spans="1:20" ht="15.75" outlineLevel="1" thickBot="1" x14ac:dyDescent="0.3">
      <c r="A4" s="15"/>
      <c r="B4" s="18"/>
      <c r="C4" s="18"/>
      <c r="D4" s="18"/>
      <c r="E4" s="18"/>
      <c r="F4" s="18"/>
      <c r="G4" s="18"/>
      <c r="H4" s="19"/>
      <c r="I4" s="18"/>
      <c r="J4" s="19"/>
      <c r="K4" s="19"/>
      <c r="L4" s="18"/>
      <c r="M4" s="18"/>
      <c r="N4" s="18"/>
      <c r="O4" s="18"/>
      <c r="P4" s="18"/>
      <c r="Q4" s="18"/>
      <c r="R4" s="20"/>
      <c r="S4" s="18"/>
      <c r="T4" s="15"/>
    </row>
    <row r="5" spans="1:20" ht="15.75" outlineLevel="1" thickBot="1" x14ac:dyDescent="0.3">
      <c r="A5" s="15"/>
      <c r="B5" s="18"/>
      <c r="C5" s="18"/>
      <c r="D5" s="18"/>
      <c r="E5" s="18"/>
      <c r="F5" s="18"/>
      <c r="G5" s="18"/>
      <c r="H5" s="19"/>
      <c r="I5" s="30">
        <f>SUBTOTAL(9,I7:I498)</f>
        <v>19960531.847591709</v>
      </c>
      <c r="J5" s="19"/>
      <c r="K5" s="19"/>
      <c r="L5" s="18"/>
      <c r="M5" s="18"/>
      <c r="N5" s="18"/>
      <c r="O5" s="18"/>
      <c r="P5" s="18"/>
      <c r="Q5" s="18"/>
      <c r="R5" s="20"/>
      <c r="S5" s="18"/>
      <c r="T5" s="15"/>
    </row>
    <row r="6" spans="1:20" s="22" customFormat="1" ht="57" customHeight="1" x14ac:dyDescent="0.25">
      <c r="A6" s="21"/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29" t="s">
        <v>9</v>
      </c>
      <c r="J6" s="1" t="s">
        <v>10</v>
      </c>
      <c r="K6" s="1" t="s">
        <v>12</v>
      </c>
      <c r="L6" s="1" t="s">
        <v>11</v>
      </c>
      <c r="M6" s="1" t="s">
        <v>13</v>
      </c>
      <c r="N6" s="1" t="s">
        <v>14</v>
      </c>
      <c r="O6" s="1" t="s">
        <v>15</v>
      </c>
      <c r="P6" s="1" t="s">
        <v>16</v>
      </c>
      <c r="Q6" s="1" t="s">
        <v>17</v>
      </c>
      <c r="R6" s="2" t="s">
        <v>18</v>
      </c>
      <c r="S6" s="1" t="s">
        <v>19</v>
      </c>
      <c r="T6" s="21"/>
    </row>
    <row r="7" spans="1:20" x14ac:dyDescent="0.25">
      <c r="A7" s="15"/>
      <c r="B7" s="3"/>
      <c r="C7" s="3" t="s">
        <v>21</v>
      </c>
      <c r="D7" s="4" t="s">
        <v>22</v>
      </c>
      <c r="E7" s="4">
        <v>3</v>
      </c>
      <c r="F7" s="3" t="s">
        <v>738</v>
      </c>
      <c r="G7" s="6" t="s">
        <v>24</v>
      </c>
      <c r="H7" s="14" t="s">
        <v>739</v>
      </c>
      <c r="I7" s="5">
        <v>48257.644800000002</v>
      </c>
      <c r="J7" s="14" t="s">
        <v>740</v>
      </c>
      <c r="K7" s="4" t="s">
        <v>40</v>
      </c>
      <c r="L7" s="4" t="s">
        <v>48</v>
      </c>
      <c r="M7" s="4" t="s">
        <v>29</v>
      </c>
      <c r="N7" s="4" t="s">
        <v>30</v>
      </c>
      <c r="O7" s="4" t="s">
        <v>49</v>
      </c>
      <c r="P7" s="4" t="s">
        <v>50</v>
      </c>
      <c r="Q7" s="4" t="s">
        <v>51</v>
      </c>
      <c r="R7" s="11" t="s">
        <v>52</v>
      </c>
      <c r="S7" s="4" t="s">
        <v>34</v>
      </c>
      <c r="T7" s="15"/>
    </row>
    <row r="8" spans="1:20" x14ac:dyDescent="0.25">
      <c r="A8" s="15"/>
      <c r="B8" s="7"/>
      <c r="C8" s="7" t="s">
        <v>21</v>
      </c>
      <c r="D8" s="8" t="s">
        <v>22</v>
      </c>
      <c r="E8" s="8">
        <v>3</v>
      </c>
      <c r="F8" s="7" t="s">
        <v>741</v>
      </c>
      <c r="G8" s="10" t="s">
        <v>24</v>
      </c>
      <c r="H8" s="13" t="s">
        <v>742</v>
      </c>
      <c r="I8" s="9">
        <v>7285.65</v>
      </c>
      <c r="J8" s="13" t="s">
        <v>79</v>
      </c>
      <c r="K8" s="8" t="s">
        <v>40</v>
      </c>
      <c r="L8" s="8" t="s">
        <v>80</v>
      </c>
      <c r="M8" s="8" t="s">
        <v>29</v>
      </c>
      <c r="N8" s="8" t="s">
        <v>30</v>
      </c>
      <c r="O8" s="8" t="s">
        <v>49</v>
      </c>
      <c r="P8" s="8" t="s">
        <v>58</v>
      </c>
      <c r="Q8" s="8" t="s">
        <v>58</v>
      </c>
      <c r="R8" s="12" t="s">
        <v>58</v>
      </c>
      <c r="S8" s="8" t="s">
        <v>34</v>
      </c>
      <c r="T8" s="15"/>
    </row>
    <row r="9" spans="1:20" x14ac:dyDescent="0.25">
      <c r="A9" s="15"/>
      <c r="B9" s="3"/>
      <c r="C9" s="3" t="s">
        <v>21</v>
      </c>
      <c r="D9" s="4" t="s">
        <v>22</v>
      </c>
      <c r="E9" s="4">
        <v>3</v>
      </c>
      <c r="F9" s="3" t="s">
        <v>741</v>
      </c>
      <c r="G9" s="6" t="s">
        <v>24</v>
      </c>
      <c r="H9" s="14" t="s">
        <v>743</v>
      </c>
      <c r="I9" s="5">
        <v>7437.1</v>
      </c>
      <c r="J9" s="14" t="s">
        <v>79</v>
      </c>
      <c r="K9" s="4" t="s">
        <v>40</v>
      </c>
      <c r="L9" s="4" t="s">
        <v>80</v>
      </c>
      <c r="M9" s="4" t="s">
        <v>29</v>
      </c>
      <c r="N9" s="4" t="s">
        <v>30</v>
      </c>
      <c r="O9" s="4" t="s">
        <v>49</v>
      </c>
      <c r="P9" s="4" t="s">
        <v>113</v>
      </c>
      <c r="Q9" s="4"/>
      <c r="R9" s="11" t="s">
        <v>58</v>
      </c>
      <c r="S9" s="4" t="s">
        <v>34</v>
      </c>
      <c r="T9" s="15"/>
    </row>
    <row r="10" spans="1:20" x14ac:dyDescent="0.25">
      <c r="A10" s="15"/>
      <c r="B10" s="7"/>
      <c r="C10" s="7" t="s">
        <v>21</v>
      </c>
      <c r="D10" s="8" t="s">
        <v>22</v>
      </c>
      <c r="E10" s="8">
        <v>3</v>
      </c>
      <c r="F10" s="7" t="s">
        <v>744</v>
      </c>
      <c r="G10" s="10" t="s">
        <v>24</v>
      </c>
      <c r="H10" s="13" t="s">
        <v>745</v>
      </c>
      <c r="I10" s="9">
        <v>460000</v>
      </c>
      <c r="J10" s="13" t="s">
        <v>746</v>
      </c>
      <c r="K10" s="8" t="s">
        <v>40</v>
      </c>
      <c r="L10" s="8" t="s">
        <v>747</v>
      </c>
      <c r="M10" s="8" t="s">
        <v>29</v>
      </c>
      <c r="N10" s="8" t="s">
        <v>29</v>
      </c>
      <c r="O10" s="8" t="s">
        <v>49</v>
      </c>
      <c r="P10" s="8" t="s">
        <v>748</v>
      </c>
      <c r="Q10" s="8"/>
      <c r="R10" s="12">
        <v>45076</v>
      </c>
      <c r="S10" s="8" t="s">
        <v>34</v>
      </c>
      <c r="T10" s="15"/>
    </row>
    <row r="11" spans="1:20" x14ac:dyDescent="0.25">
      <c r="A11" s="15"/>
      <c r="B11" s="3"/>
      <c r="C11" s="3" t="s">
        <v>21</v>
      </c>
      <c r="D11" s="4" t="s">
        <v>22</v>
      </c>
      <c r="E11" s="4">
        <v>3</v>
      </c>
      <c r="F11" s="3" t="s">
        <v>749</v>
      </c>
      <c r="G11" s="6" t="s">
        <v>24</v>
      </c>
      <c r="H11" s="14" t="s">
        <v>750</v>
      </c>
      <c r="I11" s="5">
        <v>2700000</v>
      </c>
      <c r="J11" s="14" t="s">
        <v>751</v>
      </c>
      <c r="K11" s="4" t="s">
        <v>282</v>
      </c>
      <c r="L11" s="4" t="s">
        <v>271</v>
      </c>
      <c r="M11" s="4" t="s">
        <v>29</v>
      </c>
      <c r="N11" s="4" t="s">
        <v>30</v>
      </c>
      <c r="O11" s="4" t="s">
        <v>49</v>
      </c>
      <c r="P11" s="4" t="s">
        <v>113</v>
      </c>
      <c r="Q11" s="4"/>
      <c r="R11" s="11"/>
      <c r="S11" s="4" t="s">
        <v>58</v>
      </c>
      <c r="T11" s="15"/>
    </row>
    <row r="12" spans="1:20" x14ac:dyDescent="0.25">
      <c r="A12" s="15"/>
      <c r="B12" s="7"/>
      <c r="C12" s="7" t="s">
        <v>21</v>
      </c>
      <c r="D12" s="8" t="s">
        <v>22</v>
      </c>
      <c r="E12" s="8">
        <v>3</v>
      </c>
      <c r="F12" s="7" t="s">
        <v>752</v>
      </c>
      <c r="G12" s="10" t="s">
        <v>24</v>
      </c>
      <c r="H12" s="13" t="s">
        <v>753</v>
      </c>
      <c r="I12" s="9">
        <v>700000</v>
      </c>
      <c r="J12" s="13" t="s">
        <v>754</v>
      </c>
      <c r="K12" s="8" t="s">
        <v>313</v>
      </c>
      <c r="L12" s="8" t="s">
        <v>312</v>
      </c>
      <c r="M12" s="8" t="s">
        <v>29</v>
      </c>
      <c r="N12" s="8" t="s">
        <v>30</v>
      </c>
      <c r="O12" s="8" t="s">
        <v>58</v>
      </c>
      <c r="P12" s="8" t="s">
        <v>755</v>
      </c>
      <c r="Q12" s="8"/>
      <c r="R12" s="12"/>
      <c r="S12" s="8" t="s">
        <v>34</v>
      </c>
      <c r="T12" s="15"/>
    </row>
    <row r="13" spans="1:20" x14ac:dyDescent="0.25">
      <c r="A13" s="15"/>
      <c r="B13" s="3"/>
      <c r="C13" s="3" t="s">
        <v>21</v>
      </c>
      <c r="D13" s="4" t="s">
        <v>327</v>
      </c>
      <c r="E13" s="4">
        <v>3</v>
      </c>
      <c r="F13" s="3" t="s">
        <v>756</v>
      </c>
      <c r="G13" s="6" t="s">
        <v>329</v>
      </c>
      <c r="H13" s="14" t="s">
        <v>750</v>
      </c>
      <c r="I13" s="5">
        <v>1909600</v>
      </c>
      <c r="J13" s="14" t="s">
        <v>757</v>
      </c>
      <c r="K13" s="4" t="s">
        <v>332</v>
      </c>
      <c r="L13" s="4" t="s">
        <v>58</v>
      </c>
      <c r="M13" s="4" t="s">
        <v>29</v>
      </c>
      <c r="N13" s="4" t="s">
        <v>30</v>
      </c>
      <c r="O13" s="4" t="s">
        <v>58</v>
      </c>
      <c r="P13" s="4" t="s">
        <v>58</v>
      </c>
      <c r="Q13" s="4" t="s">
        <v>58</v>
      </c>
      <c r="R13" s="11" t="s">
        <v>58</v>
      </c>
      <c r="S13" s="4" t="s">
        <v>58</v>
      </c>
      <c r="T13" s="15"/>
    </row>
    <row r="14" spans="1:20" x14ac:dyDescent="0.25">
      <c r="A14" s="15"/>
      <c r="B14" s="81"/>
      <c r="C14" s="81" t="s">
        <v>21</v>
      </c>
      <c r="D14" s="82" t="s">
        <v>704</v>
      </c>
      <c r="E14" s="82">
        <v>3</v>
      </c>
      <c r="F14" s="81" t="s">
        <v>749</v>
      </c>
      <c r="G14" s="83" t="s">
        <v>335</v>
      </c>
      <c r="H14" s="84" t="s">
        <v>758</v>
      </c>
      <c r="I14" s="103">
        <f>2500000-1374-223229.1</f>
        <v>2275396.9</v>
      </c>
      <c r="J14" s="84" t="s">
        <v>759</v>
      </c>
      <c r="K14" s="82" t="s">
        <v>282</v>
      </c>
      <c r="L14" s="82" t="s">
        <v>58</v>
      </c>
      <c r="M14" s="82" t="s">
        <v>29</v>
      </c>
      <c r="N14" s="82" t="s">
        <v>30</v>
      </c>
      <c r="O14" s="82" t="s">
        <v>58</v>
      </c>
      <c r="P14" s="82" t="s">
        <v>58</v>
      </c>
      <c r="Q14" s="82"/>
      <c r="R14" s="85" t="s">
        <v>58</v>
      </c>
      <c r="S14" s="82" t="s">
        <v>58</v>
      </c>
      <c r="T14" s="15"/>
    </row>
    <row r="15" spans="1:20" x14ac:dyDescent="0.25">
      <c r="A15" s="15"/>
      <c r="B15" s="3"/>
      <c r="C15" s="3" t="s">
        <v>21</v>
      </c>
      <c r="D15" s="4" t="s">
        <v>564</v>
      </c>
      <c r="E15" s="4">
        <v>3</v>
      </c>
      <c r="F15" s="3" t="s">
        <v>760</v>
      </c>
      <c r="G15" s="6" t="s">
        <v>565</v>
      </c>
      <c r="H15" s="14" t="s">
        <v>761</v>
      </c>
      <c r="I15" s="5">
        <v>928333.33333333326</v>
      </c>
      <c r="J15" s="14" t="s">
        <v>762</v>
      </c>
      <c r="K15" s="4" t="s">
        <v>313</v>
      </c>
      <c r="L15" s="4" t="s">
        <v>58</v>
      </c>
      <c r="M15" s="4" t="s">
        <v>29</v>
      </c>
      <c r="N15" s="4" t="s">
        <v>29</v>
      </c>
      <c r="O15" s="4" t="s">
        <v>58</v>
      </c>
      <c r="P15" s="4" t="s">
        <v>58</v>
      </c>
      <c r="Q15" s="4" t="s">
        <v>58</v>
      </c>
      <c r="R15" s="11" t="s">
        <v>58</v>
      </c>
      <c r="S15" s="4" t="s">
        <v>58</v>
      </c>
      <c r="T15" s="15"/>
    </row>
    <row r="16" spans="1:20" x14ac:dyDescent="0.25">
      <c r="A16" s="15"/>
      <c r="B16" s="7"/>
      <c r="C16" s="7" t="s">
        <v>21</v>
      </c>
      <c r="D16" s="8" t="s">
        <v>564</v>
      </c>
      <c r="E16" s="8">
        <v>3</v>
      </c>
      <c r="F16" s="7" t="s">
        <v>760</v>
      </c>
      <c r="G16" s="10" t="s">
        <v>565</v>
      </c>
      <c r="H16" s="13" t="s">
        <v>763</v>
      </c>
      <c r="I16" s="9">
        <v>145852</v>
      </c>
      <c r="J16" s="13" t="s">
        <v>764</v>
      </c>
      <c r="K16" s="8" t="s">
        <v>313</v>
      </c>
      <c r="L16" s="8" t="s">
        <v>58</v>
      </c>
      <c r="M16" s="8" t="s">
        <v>29</v>
      </c>
      <c r="N16" s="8" t="s">
        <v>29</v>
      </c>
      <c r="O16" s="8" t="s">
        <v>58</v>
      </c>
      <c r="P16" s="8" t="s">
        <v>58</v>
      </c>
      <c r="Q16" s="8" t="s">
        <v>58</v>
      </c>
      <c r="R16" s="12" t="s">
        <v>58</v>
      </c>
      <c r="S16" s="8" t="s">
        <v>58</v>
      </c>
      <c r="T16" s="15"/>
    </row>
    <row r="17" spans="1:21" x14ac:dyDescent="0.25">
      <c r="A17" s="15"/>
      <c r="B17" s="3"/>
      <c r="C17" s="3" t="s">
        <v>21</v>
      </c>
      <c r="D17" s="4" t="s">
        <v>564</v>
      </c>
      <c r="E17" s="4">
        <v>3</v>
      </c>
      <c r="F17" s="3" t="s">
        <v>760</v>
      </c>
      <c r="G17" s="6" t="s">
        <v>565</v>
      </c>
      <c r="H17" s="14" t="s">
        <v>765</v>
      </c>
      <c r="I17" s="5">
        <v>102096.40000000001</v>
      </c>
      <c r="J17" s="14" t="s">
        <v>766</v>
      </c>
      <c r="K17" s="4" t="s">
        <v>313</v>
      </c>
      <c r="L17" s="4" t="s">
        <v>58</v>
      </c>
      <c r="M17" s="4" t="s">
        <v>29</v>
      </c>
      <c r="N17" s="4" t="s">
        <v>29</v>
      </c>
      <c r="O17" s="4" t="s">
        <v>58</v>
      </c>
      <c r="P17" s="4" t="s">
        <v>58</v>
      </c>
      <c r="Q17" s="4" t="s">
        <v>58</v>
      </c>
      <c r="R17" s="11" t="s">
        <v>58</v>
      </c>
      <c r="S17" s="4" t="s">
        <v>58</v>
      </c>
      <c r="T17" s="15"/>
    </row>
    <row r="18" spans="1:21" x14ac:dyDescent="0.25">
      <c r="A18" s="15"/>
      <c r="B18" s="7"/>
      <c r="C18" s="7" t="s">
        <v>21</v>
      </c>
      <c r="D18" s="8" t="s">
        <v>767</v>
      </c>
      <c r="E18" s="8">
        <v>3</v>
      </c>
      <c r="F18" s="7" t="s">
        <v>233</v>
      </c>
      <c r="G18" s="10" t="s">
        <v>768</v>
      </c>
      <c r="H18" s="13" t="s">
        <v>769</v>
      </c>
      <c r="I18" s="9">
        <v>6687398</v>
      </c>
      <c r="J18" s="13" t="s">
        <v>769</v>
      </c>
      <c r="K18" s="8" t="s">
        <v>574</v>
      </c>
      <c r="L18" s="8" t="s">
        <v>58</v>
      </c>
      <c r="M18" s="8" t="s">
        <v>29</v>
      </c>
      <c r="N18" s="8" t="s">
        <v>29</v>
      </c>
      <c r="O18" s="8" t="s">
        <v>58</v>
      </c>
      <c r="P18" s="8" t="s">
        <v>58</v>
      </c>
      <c r="Q18" s="8" t="s">
        <v>58</v>
      </c>
      <c r="R18" s="12" t="s">
        <v>58</v>
      </c>
      <c r="S18" s="8" t="s">
        <v>43</v>
      </c>
      <c r="T18" s="15"/>
    </row>
    <row r="19" spans="1:21" x14ac:dyDescent="0.25">
      <c r="A19" s="15"/>
      <c r="B19" s="3"/>
      <c r="C19" s="3" t="s">
        <v>770</v>
      </c>
      <c r="D19" s="4" t="s">
        <v>771</v>
      </c>
      <c r="E19" s="4">
        <v>3</v>
      </c>
      <c r="F19" s="3" t="s">
        <v>752</v>
      </c>
      <c r="G19" s="6" t="s">
        <v>565</v>
      </c>
      <c r="H19" s="14" t="s">
        <v>772</v>
      </c>
      <c r="I19" s="5">
        <v>203900</v>
      </c>
      <c r="J19" s="14"/>
      <c r="K19" s="4" t="s">
        <v>313</v>
      </c>
      <c r="L19" s="4" t="s">
        <v>58</v>
      </c>
      <c r="M19" s="4" t="s">
        <v>29</v>
      </c>
      <c r="N19" s="4" t="s">
        <v>30</v>
      </c>
      <c r="O19" s="4" t="s">
        <v>58</v>
      </c>
      <c r="P19" s="4" t="s">
        <v>58</v>
      </c>
      <c r="Q19" s="4" t="s">
        <v>58</v>
      </c>
      <c r="R19" s="11" t="s">
        <v>58</v>
      </c>
      <c r="S19" s="4" t="s">
        <v>34</v>
      </c>
      <c r="T19" s="15"/>
    </row>
    <row r="20" spans="1:21" x14ac:dyDescent="0.25">
      <c r="A20" s="15"/>
      <c r="B20" s="7"/>
      <c r="C20" s="7" t="s">
        <v>770</v>
      </c>
      <c r="D20" s="8" t="s">
        <v>773</v>
      </c>
      <c r="E20" s="8">
        <v>3</v>
      </c>
      <c r="F20" s="7" t="s">
        <v>774</v>
      </c>
      <c r="G20" s="10" t="s">
        <v>565</v>
      </c>
      <c r="H20" s="13" t="s">
        <v>775</v>
      </c>
      <c r="I20" s="9">
        <v>419794</v>
      </c>
      <c r="J20" s="13"/>
      <c r="K20" s="8" t="s">
        <v>313</v>
      </c>
      <c r="L20" s="8" t="s">
        <v>58</v>
      </c>
      <c r="M20" s="8" t="s">
        <v>29</v>
      </c>
      <c r="N20" s="8" t="s">
        <v>30</v>
      </c>
      <c r="O20" s="8" t="s">
        <v>58</v>
      </c>
      <c r="P20" s="8" t="s">
        <v>58</v>
      </c>
      <c r="Q20" s="8" t="s">
        <v>58</v>
      </c>
      <c r="R20" s="12" t="s">
        <v>58</v>
      </c>
      <c r="S20" s="8" t="s">
        <v>58</v>
      </c>
      <c r="T20" s="15"/>
    </row>
    <row r="21" spans="1:21" x14ac:dyDescent="0.25">
      <c r="A21" s="15"/>
      <c r="B21" s="34"/>
      <c r="C21" s="34" t="s">
        <v>21</v>
      </c>
      <c r="D21" s="35" t="s">
        <v>704</v>
      </c>
      <c r="E21" s="35">
        <v>3</v>
      </c>
      <c r="F21" s="34" t="s">
        <v>776</v>
      </c>
      <c r="G21" s="36" t="s">
        <v>335</v>
      </c>
      <c r="H21" s="37" t="s">
        <v>777</v>
      </c>
      <c r="I21" s="38">
        <v>300000</v>
      </c>
      <c r="J21" s="37" t="s">
        <v>778</v>
      </c>
      <c r="K21" s="35" t="s">
        <v>58</v>
      </c>
      <c r="L21" s="35" t="s">
        <v>338</v>
      </c>
      <c r="M21" s="35"/>
      <c r="N21" s="35" t="s">
        <v>30</v>
      </c>
      <c r="O21" s="35" t="s">
        <v>58</v>
      </c>
      <c r="P21" s="35" t="s">
        <v>779</v>
      </c>
      <c r="Q21" s="34"/>
      <c r="R21" s="39" t="s">
        <v>58</v>
      </c>
      <c r="S21" s="35" t="s">
        <v>58</v>
      </c>
      <c r="T21" s="111"/>
      <c r="U21" s="15"/>
    </row>
    <row r="22" spans="1:21" x14ac:dyDescent="0.25">
      <c r="A22" s="15"/>
      <c r="B22" s="113"/>
      <c r="C22" s="113" t="s">
        <v>21</v>
      </c>
      <c r="D22" s="114" t="s">
        <v>333</v>
      </c>
      <c r="E22" s="113">
        <v>3</v>
      </c>
      <c r="F22" s="113"/>
      <c r="G22" s="115" t="s">
        <v>335</v>
      </c>
      <c r="H22" s="116" t="s">
        <v>780</v>
      </c>
      <c r="I22" s="112">
        <v>2062.1999999999998</v>
      </c>
      <c r="J22" s="116" t="s">
        <v>781</v>
      </c>
      <c r="K22" s="114" t="s">
        <v>58</v>
      </c>
      <c r="L22" s="114" t="s">
        <v>58</v>
      </c>
      <c r="M22" s="114" t="s">
        <v>58</v>
      </c>
      <c r="N22" s="114" t="s">
        <v>58</v>
      </c>
      <c r="O22" s="114" t="s">
        <v>58</v>
      </c>
      <c r="P22" s="114" t="s">
        <v>782</v>
      </c>
      <c r="Q22" s="117" t="s">
        <v>58</v>
      </c>
      <c r="R22" s="117" t="s">
        <v>58</v>
      </c>
      <c r="S22" s="114" t="s">
        <v>58</v>
      </c>
      <c r="T22" s="111"/>
      <c r="U22" s="15"/>
    </row>
    <row r="23" spans="1:21" x14ac:dyDescent="0.25">
      <c r="A23" s="15"/>
      <c r="B23" s="3"/>
      <c r="C23" s="3" t="s">
        <v>21</v>
      </c>
      <c r="D23" s="4" t="s">
        <v>22</v>
      </c>
      <c r="E23" s="4">
        <v>3</v>
      </c>
      <c r="F23" s="3"/>
      <c r="G23" s="6" t="s">
        <v>24</v>
      </c>
      <c r="H23" s="14" t="s">
        <v>822</v>
      </c>
      <c r="I23" s="5">
        <v>3063118.6194583774</v>
      </c>
      <c r="J23" s="14"/>
      <c r="K23" s="4" t="s">
        <v>40</v>
      </c>
      <c r="L23" s="4" t="s">
        <v>39</v>
      </c>
      <c r="M23" s="4" t="s">
        <v>30</v>
      </c>
      <c r="N23" s="4" t="s">
        <v>29</v>
      </c>
      <c r="O23" s="4" t="s">
        <v>126</v>
      </c>
      <c r="P23" s="4" t="s">
        <v>823</v>
      </c>
      <c r="Q23" s="4" t="s">
        <v>824</v>
      </c>
      <c r="R23" s="11"/>
      <c r="S23" s="4" t="s">
        <v>43</v>
      </c>
      <c r="T23" s="15"/>
    </row>
    <row r="24" spans="1:21" s="15" customFormat="1" x14ac:dyDescent="0.25">
      <c r="D24" s="111"/>
      <c r="E24" s="111"/>
      <c r="K24" s="111"/>
      <c r="L24" s="111"/>
      <c r="M24" s="111"/>
      <c r="N24" s="111"/>
      <c r="O24" s="111"/>
      <c r="P24" s="111"/>
      <c r="R24" s="111"/>
      <c r="S24" s="111"/>
      <c r="T24" s="111"/>
    </row>
    <row r="25" spans="1:21" s="15" customFormat="1" x14ac:dyDescent="0.25">
      <c r="B25" s="31"/>
      <c r="C25" s="15" t="s">
        <v>734</v>
      </c>
    </row>
    <row r="26" spans="1:21" s="15" customFormat="1" x14ac:dyDescent="0.25">
      <c r="B26" s="32"/>
      <c r="C26" s="15" t="s">
        <v>735</v>
      </c>
    </row>
    <row r="27" spans="1:21" s="15" customFormat="1" x14ac:dyDescent="0.25">
      <c r="B27" s="33"/>
      <c r="C27" s="15" t="s">
        <v>736</v>
      </c>
    </row>
    <row r="28" spans="1:21" s="15" customFormat="1" x14ac:dyDescent="0.25"/>
  </sheetData>
  <autoFilter ref="B6:S20" xr:uid="{00000000-0001-0000-0100-000000000000}"/>
  <phoneticPr fontId="7" type="noConversion"/>
  <dataValidations count="21">
    <dataValidation allowBlank="1" showInputMessage="1" showErrorMessage="1" promptTitle="Complexidade da aquisição" prompt="Este campo deve ser preenchido somente caso o tipo de aquisição seja &quot;Aquisição direta&quot; ou &quot;Licitação&quot;, caso contrário selecione “n/a” na lista suspensa. Para a complexidade é preciso selecionar a opção que for mais adequada: &quot;Baixa&quot;, &quot;Média&quot; ou &quot;Alta&quot;" sqref="S6" xr:uid="{38697591-1B9E-44AC-90E9-C1BE71FC9F1D}"/>
    <dataValidation allowBlank="1" showInputMessage="1" showErrorMessage="1" promptTitle="Data de referência" prompt="Este campo deve ser preenchido somente caso o tipo de aquisição seja &quot;Aquisição direta&quot; ou &quot;Licitação&quot;, caso contrário preencha &quot;n/a&quot;. A data preenchida refere-se à quando a unidade demandante espera que seja iniciada a execução da aquisição" sqref="R6" xr:uid="{579FA2CE-41CA-4818-9065-31009FC70D7A}"/>
    <dataValidation allowBlank="1" showInputMessage="1" showErrorMessage="1" promptTitle="Nº do contrato, ARP ou NE" prompt="Quando houver sido gerado, registrar o número do contrato, ata de registro de preço ou nota de empenho do objeto. Caso contrário deve-se registrar n/a" sqref="Q6" xr:uid="{48F2E456-C97C-4F71-8F05-E1ABC758252D}"/>
    <dataValidation allowBlank="1" showInputMessage="1" showErrorMessage="1" promptTitle="Processo SEI" prompt="Informe o processo SEI do objeto " sqref="P6" xr:uid="{3BBC3311-4469-4349-AA35-5F5C32158E6F}"/>
    <dataValidation allowBlank="1" showInputMessage="1" showErrorMessage="1" promptTitle="Tipo de aquisição" prompt="Selecione “Licitação”, “Somente execução”, “Aquisição direta”, “Prorrogação”, “n/a” na lista suspensa" sqref="O6" xr:uid="{4179E2BE-0AE9-4DE7-B663-4045D60E5CA0}"/>
    <dataValidation allowBlank="1" showInputMessage="1" showErrorMessage="1" promptTitle="Gasto continuado?" prompt="Selecione “Sim” ou “Não” na lista suspensa. Se houve a necessidade de continuidade da demanda para os próximos 3 anos, deve-se selecionar a opção “Sim”. Caso contrário, deve-se selecionar a opção “Não”" sqref="N6" xr:uid="{B5B913F7-54D4-427D-B8C7-1725545FB2EC}"/>
    <dataValidation allowBlank="1" showInputMessage="1" showErrorMessage="1" promptTitle="Nova demanda?" prompt="Selecione “Sim” ou “Não” na lista suspensa. Deve-se selecionar como “Sim” somente as demandas que não foram gastos do CNJ nos últimos 3 anos consecutivos. Caso contrário, deve-se selecionar “Não”" sqref="M6" xr:uid="{82F978B0-4064-4CB1-82B6-DE5E16032EE5}"/>
    <dataValidation allowBlank="1" showInputMessage="1" showErrorMessage="1" promptTitle="UGR" prompt="Quando necessário, insira a unidade gestora responsável pelo objeto" sqref="L6" xr:uid="{6AFCA1DF-ED8B-4DEF-8711-5D3EBE330532}"/>
    <dataValidation allowBlank="1" showInputMessage="1" showErrorMessage="1" promptTitle="Unidade" prompt="Não é necessário o preenchimento" sqref="G6" xr:uid="{92BBC809-95FB-4215-8DD2-FABBC98355AF}"/>
    <dataValidation allowBlank="1" showInputMessage="1" showErrorMessage="1" promptTitle="Alinhamento estratégico" prompt="Indique os objetivos estratégicos que estão alinhados ao objeto. Para o preenchimento é preciso avaliar a tabela contida no manual de utilização do formulário de captação de demandas " sqref="K6" xr:uid="{211C5B0A-E486-458F-809E-069CDCACF326}"/>
    <dataValidation allowBlank="1" showInputMessage="1" showErrorMessage="1" promptTitle="Justificativa" prompt="Descreva a justificativa da contratação do objeto" sqref="J6" xr:uid="{F2911362-C0A2-44DB-85B2-3EF96CBCCC83}"/>
    <dataValidation allowBlank="1" showInputMessage="1" showErrorMessage="1" promptTitle="Demanda" prompt="Descreva o objeto da contratação resumidamente" sqref="H6" xr:uid="{CFB0F628-7CB3-4D62-8C06-CF24DACE6369}"/>
    <dataValidation allowBlank="1" showInputMessage="1" showErrorMessage="1" promptTitle="Natureza de despesa detalhada" prompt="Informação gerada pela SOF. Para o preenchimento deve-se avaliar a classificação orçamentária informada no processo SEI do objeto " sqref="F6" xr:uid="{794C654E-D72D-4465-B43F-DE58B1E6D737}"/>
    <dataValidation allowBlank="1" showInputMessage="1" showErrorMessage="1" promptTitle="Plano orçamentário" prompt="Informação gerada pela SOF. Para o preenchimento é preciso avaliar a tabela contida no manual de utilização do formulário de captação de demandas" sqref="D6" xr:uid="{79B48FCA-1899-4107-AC55-05D81D2B09CA}"/>
    <dataValidation allowBlank="1" showInputMessage="1" showErrorMessage="1" promptTitle="Ação orçamentária" prompt="Informação gerada pela SOF. Para o preenchimento é preciso avaliar a tabela contida no manual de utilização do formulário de captação de demandas" sqref="C6" xr:uid="{65B15C50-9E1A-4DC9-B4FD-B4C318D75032}"/>
    <dataValidation type="list" allowBlank="1" showInputMessage="1" showErrorMessage="1" sqref="M7:N8 M20:N20 M23:N23" xr:uid="{C78625D7-7D5B-4ED2-A3E8-853CF44A39E7}">
      <formula1>"Sim, Não"</formula1>
    </dataValidation>
    <dataValidation type="list" allowBlank="1" showInputMessage="1" showErrorMessage="1" sqref="S7:S8 S20 S23" xr:uid="{5A69D0DD-DC61-4FC9-BA14-2F004F3F48B8}">
      <formula1>"Baixa, Média, Alta, n/a"</formula1>
    </dataValidation>
    <dataValidation type="list" allowBlank="1" showInputMessage="1" showErrorMessage="1" sqref="O7:O8 O20" xr:uid="{15C91255-3B3D-4D5D-BAF1-10185461254C}">
      <formula1>"Licitação, Prorrogação, Somente execução, Aquisição direta, n/a"</formula1>
    </dataValidation>
    <dataValidation allowBlank="1" showInputMessage="1" showErrorMessage="1" promptTitle="Item PCA" prompt="Não é necessário o preenchimento" sqref="B6" xr:uid="{868982AE-A247-47E5-8B52-CA021EFD7B79}"/>
    <dataValidation allowBlank="1" showInputMessage="1" showErrorMessage="1" promptTitle="Captação" prompt="Insira o orçamento necessário para atender a demanda no referente _x000a_exercício" sqref="I6" xr:uid="{2D7585EA-5629-44A9-B0EE-EFBC6E69DC79}"/>
    <dataValidation type="list" allowBlank="1" showInputMessage="1" showErrorMessage="1" sqref="O21 O23" xr:uid="{32960835-1866-45F3-ABAA-9C42A024ECAF}">
      <formula1>"Licitação, Contratação Direta, Prorrogação, Somente execução, Somente execução - Dispensa, Suprimento de fundos, n/a"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M515"/>
  <sheetViews>
    <sheetView zoomScale="85" zoomScaleNormal="85" workbookViewId="0">
      <selection activeCell="H46" sqref="H46"/>
    </sheetView>
  </sheetViews>
  <sheetFormatPr defaultColWidth="0" defaultRowHeight="15" zeroHeight="1" x14ac:dyDescent="0.25"/>
  <cols>
    <col min="1" max="1" width="9.140625" style="52" customWidth="1"/>
    <col min="2" max="2" width="29.5703125" style="52" bestFit="1" customWidth="1"/>
    <col min="3" max="5" width="23.85546875" style="52" bestFit="1" customWidth="1"/>
    <col min="6" max="6" width="21.5703125" style="52" customWidth="1"/>
    <col min="7" max="7" width="8.140625" style="52" customWidth="1"/>
    <col min="8" max="8" width="73" style="52" customWidth="1"/>
    <col min="9" max="9" width="18.7109375" style="52" customWidth="1"/>
    <col min="10" max="10" width="23.85546875" style="52" bestFit="1" customWidth="1"/>
    <col min="11" max="11" width="19" style="52" bestFit="1" customWidth="1"/>
    <col min="12" max="12" width="29.85546875" style="52" customWidth="1"/>
    <col min="13" max="13" width="5.85546875" style="52" customWidth="1"/>
    <col min="14" max="16384" width="9.140625" hidden="1"/>
  </cols>
  <sheetData>
    <row r="1" spans="1:13" ht="15.75" thickBot="1" x14ac:dyDescent="0.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33.75" customHeight="1" thickBot="1" x14ac:dyDescent="0.3">
      <c r="A2" s="15"/>
      <c r="B2" s="49" t="s">
        <v>783</v>
      </c>
      <c r="C2" s="49"/>
      <c r="D2" s="49"/>
      <c r="E2" s="49"/>
      <c r="F2" s="49"/>
      <c r="G2" s="49"/>
      <c r="H2" s="49"/>
      <c r="I2" s="49"/>
      <c r="J2" s="49"/>
      <c r="K2" s="49"/>
      <c r="L2" s="50"/>
      <c r="M2" s="15"/>
    </row>
    <row r="3" spans="1:13" ht="15.75" thickBot="1" x14ac:dyDescent="0.3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5.75" thickBot="1" x14ac:dyDescent="0.3">
      <c r="A4" s="51"/>
      <c r="B4" s="51"/>
      <c r="C4" s="87"/>
      <c r="D4" s="53">
        <f>D14-SUM(PCA!I:I)-SUM('Outras ações discricionárias'!I:I)+PCA!I5+'Outras ações discricionárias'!I5</f>
        <v>4.0978193283081055E-8</v>
      </c>
      <c r="E4" s="53">
        <f>SUM(E6:E13)-$J$6</f>
        <v>0</v>
      </c>
      <c r="F4" s="51"/>
      <c r="G4" s="51"/>
      <c r="H4" s="51"/>
      <c r="I4" s="53">
        <f>J6-I6</f>
        <v>0</v>
      </c>
      <c r="J4" s="53">
        <f>E14-J8-J9-J10-J11-J12-J13-J14-J15-J16-J17-J19-J20</f>
        <v>0</v>
      </c>
      <c r="K4" s="51"/>
      <c r="L4" s="51"/>
      <c r="M4" s="51"/>
    </row>
    <row r="5" spans="1:13" ht="48" thickBot="1" x14ac:dyDescent="0.3">
      <c r="A5" s="51"/>
      <c r="B5" s="93" t="s">
        <v>7</v>
      </c>
      <c r="C5" s="97"/>
      <c r="D5" s="55" t="s">
        <v>784</v>
      </c>
      <c r="E5" s="55" t="s">
        <v>785</v>
      </c>
      <c r="F5" s="56" t="s">
        <v>786</v>
      </c>
      <c r="G5" s="51"/>
      <c r="H5" s="57" t="s">
        <v>787</v>
      </c>
      <c r="I5" s="58" t="s">
        <v>788</v>
      </c>
      <c r="J5" s="59" t="s">
        <v>789</v>
      </c>
      <c r="K5" s="51"/>
      <c r="L5" s="60" t="s">
        <v>790</v>
      </c>
      <c r="M5" s="51"/>
    </row>
    <row r="6" spans="1:13" ht="18" x14ac:dyDescent="0.25">
      <c r="A6" s="51"/>
      <c r="B6" s="94" t="s">
        <v>565</v>
      </c>
      <c r="C6" s="98"/>
      <c r="D6" s="61">
        <f>SUMIF(PCA!G:G,'Resumo por unidade'!B6,PCA!I:I)+SUMIF('Outras ações discricionárias'!G:G,'Resumo por unidade'!B6,'Outras ações discricionárias'!I:I)</f>
        <v>2236740.7333333334</v>
      </c>
      <c r="E6" s="61">
        <f>1613047+203900+419794</f>
        <v>2236741</v>
      </c>
      <c r="F6" s="62">
        <f t="shared" ref="F6:F14" si="0">E6-D6</f>
        <v>0.2666666666045785</v>
      </c>
      <c r="G6" s="51"/>
      <c r="H6" s="63" t="s">
        <v>791</v>
      </c>
      <c r="I6" s="64">
        <f>+I7+I18</f>
        <v>180245069</v>
      </c>
      <c r="J6" s="65">
        <f>+J7+J18</f>
        <v>180245069</v>
      </c>
      <c r="K6" s="51"/>
      <c r="L6" s="125">
        <v>1650276</v>
      </c>
      <c r="M6" s="51"/>
    </row>
    <row r="7" spans="1:13" ht="31.5" x14ac:dyDescent="0.25">
      <c r="A7" s="51"/>
      <c r="B7" s="98" t="s">
        <v>24</v>
      </c>
      <c r="C7" s="98"/>
      <c r="D7" s="61">
        <f>SUMIF(PCA!G:G,'Resumo por unidade'!B7,PCA!I:I)+SUMIF('Outras ações discricionárias'!G:G,'Resumo por unidade'!B7,'Outras ações discricionárias'!I:I)</f>
        <v>68741554.61725837</v>
      </c>
      <c r="E7" s="66">
        <f>J8</f>
        <v>68741555</v>
      </c>
      <c r="F7" s="67">
        <f t="shared" si="0"/>
        <v>0.38274163007736206</v>
      </c>
      <c r="G7" s="51"/>
      <c r="H7" s="68" t="s">
        <v>792</v>
      </c>
      <c r="I7" s="69">
        <f>SUM(I8:I17)</f>
        <v>179621375</v>
      </c>
      <c r="J7" s="70">
        <f>SUM(J8:J17)</f>
        <v>179621375</v>
      </c>
      <c r="K7" s="51"/>
      <c r="L7" s="125">
        <v>1767680</v>
      </c>
      <c r="M7" s="51"/>
    </row>
    <row r="8" spans="1:13" ht="18" x14ac:dyDescent="0.25">
      <c r="A8" s="51"/>
      <c r="B8" s="98" t="s">
        <v>335</v>
      </c>
      <c r="C8" s="98"/>
      <c r="D8" s="61">
        <f>SUMIF(PCA!G:G,'Resumo por unidade'!B8,PCA!I:I)+SUMIF('Outras ações discricionárias'!G:G,'Resumo por unidade'!B8,'Outras ações discricionárias'!I:I)</f>
        <v>86222500.37531665</v>
      </c>
      <c r="E8" s="66">
        <f>J10+J11+J12</f>
        <v>86222501</v>
      </c>
      <c r="F8" s="67">
        <f t="shared" si="0"/>
        <v>0.62468335032463074</v>
      </c>
      <c r="G8" s="51"/>
      <c r="H8" s="71" t="s">
        <v>793</v>
      </c>
      <c r="I8" s="72">
        <v>65732763</v>
      </c>
      <c r="J8" s="73">
        <f>65732763+3063118-54326</f>
        <v>68741555</v>
      </c>
      <c r="K8" s="51"/>
      <c r="L8" s="125">
        <v>1781821</v>
      </c>
      <c r="M8" s="51"/>
    </row>
    <row r="9" spans="1:13" ht="18" x14ac:dyDescent="0.25">
      <c r="A9" s="51"/>
      <c r="B9" s="98" t="s">
        <v>581</v>
      </c>
      <c r="C9" s="98"/>
      <c r="D9" s="61">
        <f>SUMIF(PCA!G:G,'Resumo por unidade'!B9,PCA!I:I)+SUMIF('Outras ações discricionárias'!G:G,'Resumo por unidade'!B9,'Outras ações discricionárias'!I:I)</f>
        <v>9087522</v>
      </c>
      <c r="E9" s="66">
        <v>9087522</v>
      </c>
      <c r="F9" s="67">
        <f t="shared" si="0"/>
        <v>0</v>
      </c>
      <c r="G9" s="51"/>
      <c r="H9" s="71" t="s">
        <v>794</v>
      </c>
      <c r="I9" s="72">
        <v>4081996</v>
      </c>
      <c r="J9" s="73">
        <v>4081996</v>
      </c>
      <c r="K9" s="51"/>
      <c r="L9" s="51"/>
      <c r="M9" s="51"/>
    </row>
    <row r="10" spans="1:13" ht="30" x14ac:dyDescent="0.25">
      <c r="A10" s="51"/>
      <c r="B10" s="98" t="s">
        <v>768</v>
      </c>
      <c r="C10" s="98"/>
      <c r="D10" s="61">
        <f>SUMIF(PCA!G:G,'Resumo por unidade'!B10,PCA!I:I)+SUMIF('Outras ações discricionárias'!G:G,'Resumo por unidade'!B10,'Outras ações discricionárias'!I:I)</f>
        <v>6687398</v>
      </c>
      <c r="E10" s="66">
        <v>6687398</v>
      </c>
      <c r="F10" s="67">
        <f t="shared" si="0"/>
        <v>0</v>
      </c>
      <c r="G10" s="51"/>
      <c r="H10" s="71" t="s">
        <v>795</v>
      </c>
      <c r="I10" s="72">
        <v>79288527</v>
      </c>
      <c r="J10" s="73">
        <f>79288527-3063118</f>
        <v>76225409</v>
      </c>
      <c r="K10" s="51"/>
      <c r="L10" s="51"/>
      <c r="M10" s="51"/>
    </row>
    <row r="11" spans="1:13" ht="30" x14ac:dyDescent="0.25">
      <c r="A11" s="51"/>
      <c r="B11" s="98" t="s">
        <v>329</v>
      </c>
      <c r="C11" s="98"/>
      <c r="D11" s="61">
        <f>SUMIF(PCA!G:G,'Resumo por unidade'!B11,PCA!I:I)+SUMIF('Outras ações discricionárias'!G:G,'Resumo por unidade'!B11,'Outras ações discricionárias'!I:I)</f>
        <v>4081996</v>
      </c>
      <c r="E11" s="66">
        <v>4081996</v>
      </c>
      <c r="F11" s="67">
        <f t="shared" si="0"/>
        <v>0</v>
      </c>
      <c r="G11" s="51"/>
      <c r="H11" s="71" t="s">
        <v>796</v>
      </c>
      <c r="I11" s="72">
        <v>2798626</v>
      </c>
      <c r="J11" s="73">
        <v>2798626</v>
      </c>
      <c r="K11" s="51"/>
      <c r="L11" s="51"/>
      <c r="M11" s="51"/>
    </row>
    <row r="12" spans="1:13" ht="18" x14ac:dyDescent="0.25">
      <c r="A12" s="51"/>
      <c r="B12" s="98" t="s">
        <v>536</v>
      </c>
      <c r="C12" s="98"/>
      <c r="D12" s="61">
        <f>SUMIF(PCA!G:G,'Resumo por unidade'!B12,PCA!I:I)+SUMIF('Outras ações discricionárias'!G:G,'Resumo por unidade'!B12,'Outras ações discricionárias'!I:I)</f>
        <v>2170943.86</v>
      </c>
      <c r="E12" s="66">
        <f>J13</f>
        <v>2170945</v>
      </c>
      <c r="F12" s="67">
        <f t="shared" si="0"/>
        <v>1.1400000001303852</v>
      </c>
      <c r="G12" s="51"/>
      <c r="H12" s="71" t="s">
        <v>797</v>
      </c>
      <c r="I12" s="72">
        <v>7198466</v>
      </c>
      <c r="J12" s="73">
        <v>7198466</v>
      </c>
      <c r="K12" s="51"/>
      <c r="L12" s="51"/>
      <c r="M12" s="51"/>
    </row>
    <row r="13" spans="1:13" ht="18.75" thickBot="1" x14ac:dyDescent="0.3">
      <c r="A13" s="51"/>
      <c r="B13" s="98" t="s">
        <v>571</v>
      </c>
      <c r="C13" s="98"/>
      <c r="D13" s="61">
        <f>SUMIF(PCA!G:G,'Resumo por unidade'!B13,PCA!I:I)+SUMIF('Outras ações discricionárias'!G:G,'Resumo por unidade'!B13,'Outras ações discricionárias'!I:I)</f>
        <v>1016410.9400000001</v>
      </c>
      <c r="E13" s="66">
        <v>1016411</v>
      </c>
      <c r="F13" s="67">
        <f t="shared" si="0"/>
        <v>5.9999999939464033E-2</v>
      </c>
      <c r="G13" s="51"/>
      <c r="H13" s="71" t="s">
        <v>798</v>
      </c>
      <c r="I13" s="72">
        <v>2116619</v>
      </c>
      <c r="J13" s="73">
        <f>2116619+54326</f>
        <v>2170945</v>
      </c>
      <c r="K13" s="51"/>
      <c r="L13" s="51"/>
      <c r="M13" s="51"/>
    </row>
    <row r="14" spans="1:13" ht="30.75" thickBot="1" x14ac:dyDescent="0.3">
      <c r="A14" s="51"/>
      <c r="B14" s="97" t="s">
        <v>799</v>
      </c>
      <c r="C14" s="97"/>
      <c r="D14" s="74">
        <f>SUM(D6:D13)</f>
        <v>180245066.52590835</v>
      </c>
      <c r="E14" s="74">
        <f>SUM(E6:E13)</f>
        <v>180245069</v>
      </c>
      <c r="F14" s="75">
        <f t="shared" si="0"/>
        <v>2.474091649055481</v>
      </c>
      <c r="G14" s="51"/>
      <c r="H14" s="71" t="s">
        <v>800</v>
      </c>
      <c r="I14" s="72">
        <v>1613047</v>
      </c>
      <c r="J14" s="73">
        <v>1613047</v>
      </c>
      <c r="K14" s="51"/>
      <c r="L14" s="51"/>
      <c r="M14" s="51"/>
    </row>
    <row r="15" spans="1:13" ht="30.75" thickBot="1" x14ac:dyDescent="0.3">
      <c r="A15" s="51"/>
      <c r="B15" s="51"/>
      <c r="C15" s="51"/>
      <c r="D15" s="51"/>
      <c r="E15" s="51"/>
      <c r="F15" s="51"/>
      <c r="G15" s="51"/>
      <c r="H15" s="71" t="s">
        <v>801</v>
      </c>
      <c r="I15" s="72">
        <v>1016411</v>
      </c>
      <c r="J15" s="73">
        <v>1016411</v>
      </c>
      <c r="K15" s="51"/>
      <c r="L15" s="51"/>
      <c r="M15" s="51"/>
    </row>
    <row r="16" spans="1:13" ht="30.75" thickBot="1" x14ac:dyDescent="0.3">
      <c r="A16" s="51"/>
      <c r="B16" s="51"/>
      <c r="C16" s="51"/>
      <c r="D16" s="53">
        <f>SUM(D18:D29)-SUM(PCA!I:I)-SUM('Outras ações discricionárias'!I:I)+PCA!I5+'Outras ações discricionárias'!I5</f>
        <v>7.0780515670776367E-8</v>
      </c>
      <c r="E16" s="53">
        <f>SUM(E18:E29)-$J$6</f>
        <v>0</v>
      </c>
      <c r="F16" s="51"/>
      <c r="G16" s="51"/>
      <c r="H16" s="71" t="s">
        <v>802</v>
      </c>
      <c r="I16" s="72">
        <v>6687398</v>
      </c>
      <c r="J16" s="73">
        <v>6687398</v>
      </c>
      <c r="K16" s="51"/>
      <c r="L16" s="51"/>
      <c r="M16" s="51"/>
    </row>
    <row r="17" spans="1:13" ht="18.75" thickBot="1" x14ac:dyDescent="0.3">
      <c r="A17" s="51"/>
      <c r="B17" s="93" t="s">
        <v>4</v>
      </c>
      <c r="C17" s="93"/>
      <c r="D17" s="91" t="s">
        <v>784</v>
      </c>
      <c r="E17" s="92" t="s">
        <v>785</v>
      </c>
      <c r="F17" s="56" t="s">
        <v>786</v>
      </c>
      <c r="G17" s="51"/>
      <c r="H17" s="71" t="s">
        <v>803</v>
      </c>
      <c r="I17" s="72">
        <v>9087522</v>
      </c>
      <c r="J17" s="73">
        <v>9087522</v>
      </c>
      <c r="K17" s="51"/>
      <c r="L17" s="51"/>
      <c r="M17" s="51"/>
    </row>
    <row r="18" spans="1:13" ht="18" x14ac:dyDescent="0.25">
      <c r="A18" s="51"/>
      <c r="B18" s="94" t="s">
        <v>22</v>
      </c>
      <c r="C18" s="94"/>
      <c r="D18" s="61">
        <f>SUMIFS(PCA!$I:$I,PCA!$D:$D,B:B)+SUMIFS('Outras ações discricionárias'!$I:$I,'Outras ações discricionárias'!$D:$D,B:B)</f>
        <v>68741554.61725837</v>
      </c>
      <c r="E18" s="61">
        <f>J8</f>
        <v>68741555</v>
      </c>
      <c r="F18" s="62">
        <f t="shared" ref="F18:F29" si="1">E18-D18</f>
        <v>0.38274163007736206</v>
      </c>
      <c r="G18" s="51"/>
      <c r="H18" s="68" t="s">
        <v>804</v>
      </c>
      <c r="I18" s="76">
        <f>+I19+I20</f>
        <v>623694</v>
      </c>
      <c r="J18" s="77">
        <f>+J19+J20</f>
        <v>623694</v>
      </c>
      <c r="K18" s="51"/>
      <c r="L18" s="51"/>
      <c r="M18" s="51"/>
    </row>
    <row r="19" spans="1:13" ht="30" x14ac:dyDescent="0.25">
      <c r="A19" s="51"/>
      <c r="B19" s="94" t="s">
        <v>327</v>
      </c>
      <c r="C19" s="94"/>
      <c r="D19" s="61">
        <f>SUMIFS(PCA!$I:$I,PCA!$D:$D,B:B)+SUMIFS('Outras ações discricionárias'!$I:$I,'Outras ações discricionárias'!$D:$D,B:B)</f>
        <v>4081996</v>
      </c>
      <c r="E19" s="61">
        <v>4081996</v>
      </c>
      <c r="F19" s="62">
        <f t="shared" si="1"/>
        <v>0</v>
      </c>
      <c r="G19" s="51"/>
      <c r="H19" s="71" t="s">
        <v>805</v>
      </c>
      <c r="I19" s="72">
        <v>203900</v>
      </c>
      <c r="J19" s="73">
        <v>203900</v>
      </c>
      <c r="K19" s="51"/>
      <c r="L19" s="51"/>
      <c r="M19" s="51"/>
    </row>
    <row r="20" spans="1:13" ht="18.75" thickBot="1" x14ac:dyDescent="0.3">
      <c r="A20" s="51"/>
      <c r="B20" s="94" t="s">
        <v>333</v>
      </c>
      <c r="C20" s="94"/>
      <c r="D20" s="61">
        <f>SUMIFS(PCA!$I:$I,PCA!$D:$D,B:B)+SUMIFS('Outras ações discricionárias'!$I:$I,'Outras ações discricionárias'!$D:$D,B:B)</f>
        <v>76225408.375316665</v>
      </c>
      <c r="E20" s="61">
        <v>76225409</v>
      </c>
      <c r="F20" s="62">
        <f t="shared" si="1"/>
        <v>0.62468333542346954</v>
      </c>
      <c r="G20" s="51"/>
      <c r="H20" s="78" t="s">
        <v>806</v>
      </c>
      <c r="I20" s="79">
        <v>419794</v>
      </c>
      <c r="J20" s="80">
        <v>419794</v>
      </c>
      <c r="K20" s="51"/>
      <c r="L20" s="51"/>
      <c r="M20" s="51"/>
    </row>
    <row r="21" spans="1:13" ht="15.75" thickBot="1" x14ac:dyDescent="0.3">
      <c r="A21" s="51"/>
      <c r="B21" s="94" t="s">
        <v>704</v>
      </c>
      <c r="C21" s="94"/>
      <c r="D21" s="61">
        <f>SUMIFS(PCA!$I:$I,PCA!$D:$D,B:B)+SUMIFS('Outras ações discricionárias'!$I:$I,'Outras ações discricionárias'!$D:$D,B:B)</f>
        <v>2798626</v>
      </c>
      <c r="E21" s="61">
        <v>2798626</v>
      </c>
      <c r="F21" s="62">
        <f t="shared" si="1"/>
        <v>0</v>
      </c>
      <c r="G21" s="51"/>
      <c r="H21" s="51"/>
      <c r="I21" s="51"/>
      <c r="J21" s="51"/>
      <c r="K21" s="51"/>
      <c r="L21" s="51"/>
      <c r="M21" s="51"/>
    </row>
    <row r="22" spans="1:13" ht="15.75" thickBot="1" x14ac:dyDescent="0.3">
      <c r="A22" s="51"/>
      <c r="B22" s="94" t="s">
        <v>491</v>
      </c>
      <c r="C22" s="94"/>
      <c r="D22" s="61">
        <f>SUMIFS(PCA!$I:$I,PCA!$D:$D,B:B)+SUMIFS('Outras ações discricionárias'!$I:$I,'Outras ações discricionárias'!$D:$D,B:B)</f>
        <v>7198466</v>
      </c>
      <c r="E22" s="61">
        <v>7198466</v>
      </c>
      <c r="F22" s="62">
        <f t="shared" si="1"/>
        <v>0</v>
      </c>
      <c r="G22" s="51"/>
      <c r="H22" s="51"/>
      <c r="I22" s="53">
        <f>SUMIF(PCA!T:T,"&lt;&gt;",PCA!I:I)-SUM(I24:I187)</f>
        <v>0</v>
      </c>
      <c r="J22" s="51"/>
      <c r="K22" s="51"/>
      <c r="L22" s="87"/>
      <c r="M22" s="51"/>
    </row>
    <row r="23" spans="1:13" ht="16.5" thickBot="1" x14ac:dyDescent="0.3">
      <c r="A23" s="51"/>
      <c r="B23" s="94" t="s">
        <v>535</v>
      </c>
      <c r="C23" s="94"/>
      <c r="D23" s="61">
        <f>SUMIFS(PCA!$I:$I,PCA!$D:$D,B:B)+SUMIFS('Outras ações discricionárias'!$I:$I,'Outras ações discricionárias'!$D:$D,B:B)</f>
        <v>2170943.86</v>
      </c>
      <c r="E23" s="61">
        <f>J13</f>
        <v>2170945</v>
      </c>
      <c r="F23" s="62">
        <f t="shared" si="1"/>
        <v>1.1400000001303852</v>
      </c>
      <c r="G23" s="51"/>
      <c r="H23" s="54" t="s">
        <v>807</v>
      </c>
      <c r="I23" s="55" t="s">
        <v>784</v>
      </c>
      <c r="J23" s="55" t="s">
        <v>785</v>
      </c>
      <c r="K23" s="56" t="s">
        <v>786</v>
      </c>
      <c r="L23" s="87"/>
      <c r="M23" s="51"/>
    </row>
    <row r="24" spans="1:13" x14ac:dyDescent="0.25">
      <c r="A24" s="51"/>
      <c r="B24" s="94" t="s">
        <v>564</v>
      </c>
      <c r="C24" s="94"/>
      <c r="D24" s="61">
        <f>SUMIFS(PCA!$I:$I,PCA!$D:$D,B:B)+SUMIFS('Outras ações discricionárias'!$I:$I,'Outras ações discricionárias'!$D:$D,B:B)</f>
        <v>1613046.7333333332</v>
      </c>
      <c r="E24" s="61">
        <v>1613047</v>
      </c>
      <c r="F24" s="62">
        <f t="shared" si="1"/>
        <v>0.26666666683740914</v>
      </c>
      <c r="G24" s="51"/>
      <c r="H24" s="88" t="s">
        <v>808</v>
      </c>
      <c r="I24" s="61">
        <f>SUMIF(PCA!T:T,'Resumo por unidade'!H24,PCA!I:I)</f>
        <v>7938</v>
      </c>
      <c r="J24" s="61">
        <v>59906.02</v>
      </c>
      <c r="K24" s="62">
        <f t="shared" ref="K24" si="2">J24-I24</f>
        <v>51968.02</v>
      </c>
      <c r="L24" s="87"/>
      <c r="M24" s="51"/>
    </row>
    <row r="25" spans="1:13" x14ac:dyDescent="0.25">
      <c r="A25" s="51"/>
      <c r="B25" s="94" t="s">
        <v>570</v>
      </c>
      <c r="C25" s="94"/>
      <c r="D25" s="61">
        <f>SUMIFS(PCA!$I:$I,PCA!$D:$D,B:B)+SUMIFS('Outras ações discricionárias'!$I:$I,'Outras ações discricionárias'!$D:$D,B:B)</f>
        <v>1016410.9400000001</v>
      </c>
      <c r="E25" s="61">
        <v>1016411</v>
      </c>
      <c r="F25" s="62">
        <f t="shared" si="1"/>
        <v>5.9999999939464033E-2</v>
      </c>
      <c r="G25" s="51"/>
      <c r="H25" s="88" t="s">
        <v>828</v>
      </c>
      <c r="I25" s="61">
        <f>SUMIF(PCA!T:T,'Resumo por unidade'!H25,PCA!I:I)</f>
        <v>3951.71</v>
      </c>
      <c r="J25" s="61">
        <v>59906.02</v>
      </c>
      <c r="K25" s="62">
        <f t="shared" ref="K25" si="3">J25-I25</f>
        <v>55954.31</v>
      </c>
      <c r="L25" s="87"/>
      <c r="M25" s="51"/>
    </row>
    <row r="26" spans="1:13" x14ac:dyDescent="0.25">
      <c r="A26" s="51"/>
      <c r="B26" s="94" t="s">
        <v>767</v>
      </c>
      <c r="C26" s="94"/>
      <c r="D26" s="61">
        <f>SUMIFS(PCA!$I:$I,PCA!$D:$D,B:B)+SUMIFS('Outras ações discricionárias'!$I:$I,'Outras ações discricionárias'!$D:$D,B:B)</f>
        <v>6687398</v>
      </c>
      <c r="E26" s="61">
        <v>6687398</v>
      </c>
      <c r="F26" s="62">
        <f t="shared" si="1"/>
        <v>0</v>
      </c>
      <c r="G26" s="51"/>
      <c r="H26" s="88" t="s">
        <v>684</v>
      </c>
      <c r="I26" s="61">
        <f>SUMIF(PCA!T:T,'Resumo por unidade'!H26,PCA!I:I)</f>
        <v>0</v>
      </c>
      <c r="J26" s="61">
        <v>59906.02</v>
      </c>
      <c r="K26" s="62">
        <f>J26-I26</f>
        <v>59906.02</v>
      </c>
      <c r="L26" s="87"/>
      <c r="M26" s="51"/>
    </row>
    <row r="27" spans="1:13" x14ac:dyDescent="0.25">
      <c r="A27" s="51"/>
      <c r="B27" s="94" t="s">
        <v>580</v>
      </c>
      <c r="C27" s="94"/>
      <c r="D27" s="61">
        <f>SUMIFS(PCA!$I:$I,PCA!$D:$D,B:B)+SUMIFS('Outras ações discricionárias'!$I:$I,'Outras ações discricionárias'!$D:$D,B:B)</f>
        <v>9087522</v>
      </c>
      <c r="E27" s="61">
        <v>9087522</v>
      </c>
      <c r="F27" s="62">
        <f t="shared" si="1"/>
        <v>0</v>
      </c>
      <c r="G27" s="51"/>
      <c r="H27" s="88" t="s">
        <v>857</v>
      </c>
      <c r="I27" s="61">
        <f>SUMIF(PCA!T:T,'Resumo por unidade'!H27,PCA!I:I)</f>
        <v>30000</v>
      </c>
      <c r="J27" s="61">
        <v>59906.02</v>
      </c>
      <c r="K27" s="62">
        <f>J27-I27</f>
        <v>29906.019999999997</v>
      </c>
      <c r="L27" s="87"/>
      <c r="M27" s="51"/>
    </row>
    <row r="28" spans="1:13" x14ac:dyDescent="0.25">
      <c r="A28" s="51"/>
      <c r="B28" s="94" t="s">
        <v>771</v>
      </c>
      <c r="C28" s="94"/>
      <c r="D28" s="61">
        <f>SUMIFS(PCA!$I:$I,PCA!$D:$D,B:B)+SUMIFS('Outras ações discricionárias'!$I:$I,'Outras ações discricionárias'!$D:$D,B:B)</f>
        <v>203900</v>
      </c>
      <c r="E28" s="61">
        <v>203900</v>
      </c>
      <c r="F28" s="62">
        <f t="shared" si="1"/>
        <v>0</v>
      </c>
      <c r="G28" s="51"/>
      <c r="H28" s="88" t="s">
        <v>305</v>
      </c>
      <c r="I28" s="61">
        <f>SUMIF(PCA!T:T,'Resumo por unidade'!H28,PCA!I:I)</f>
        <v>32401</v>
      </c>
      <c r="J28" s="61">
        <v>59906.02</v>
      </c>
      <c r="K28" s="62">
        <f t="shared" ref="K28:K117" si="4">J28-I28</f>
        <v>27505.019999999997</v>
      </c>
      <c r="L28" s="87"/>
      <c r="M28" s="51"/>
    </row>
    <row r="29" spans="1:13" x14ac:dyDescent="0.25">
      <c r="A29" s="51"/>
      <c r="B29" s="94" t="s">
        <v>773</v>
      </c>
      <c r="C29" s="94"/>
      <c r="D29" s="61">
        <f>SUMIFS(PCA!$I:$I,PCA!$D:$D,B:B)+SUMIFS('Outras ações discricionárias'!$I:$I,'Outras ações discricionárias'!$D:$D,B:B)</f>
        <v>419794</v>
      </c>
      <c r="E29" s="61">
        <v>419794</v>
      </c>
      <c r="F29" s="62">
        <f t="shared" si="1"/>
        <v>0</v>
      </c>
      <c r="G29" s="51"/>
      <c r="H29" s="88" t="s">
        <v>821</v>
      </c>
      <c r="I29" s="61">
        <f>SUMIF(PCA!T:T,'Resumo por unidade'!H29,PCA!I:I)</f>
        <v>0</v>
      </c>
      <c r="J29" s="61">
        <v>59906.02</v>
      </c>
      <c r="K29" s="62">
        <f t="shared" ref="K29" si="5">J29-I29</f>
        <v>59906.02</v>
      </c>
      <c r="L29" s="87"/>
      <c r="M29" s="51"/>
    </row>
    <row r="30" spans="1:13" x14ac:dyDescent="0.25">
      <c r="A30" s="51"/>
      <c r="B30" s="87"/>
      <c r="C30" s="87"/>
      <c r="D30" s="87"/>
      <c r="E30" s="87"/>
      <c r="F30" s="87"/>
      <c r="G30" s="51"/>
      <c r="H30" s="88" t="s">
        <v>215</v>
      </c>
      <c r="I30" s="61">
        <f>SUMIF(PCA!T:T,'Resumo por unidade'!H30,PCA!I:I)</f>
        <v>6000</v>
      </c>
      <c r="J30" s="61">
        <v>59906.02</v>
      </c>
      <c r="K30" s="62">
        <f t="shared" ref="K30" si="6">J30-I30</f>
        <v>53906.02</v>
      </c>
      <c r="L30" s="87"/>
      <c r="M30" s="51"/>
    </row>
    <row r="31" spans="1:13" ht="15.75" thickBot="1" x14ac:dyDescent="0.3">
      <c r="A31" s="51"/>
      <c r="B31" s="87"/>
      <c r="C31" s="87"/>
      <c r="D31" s="87"/>
      <c r="E31" s="87"/>
      <c r="F31" s="87"/>
      <c r="G31" s="51"/>
      <c r="H31" s="88" t="s">
        <v>809</v>
      </c>
      <c r="I31" s="61">
        <f>SUMIF(PCA!T:T,'Resumo por unidade'!H31,PCA!I:I)</f>
        <v>0</v>
      </c>
      <c r="J31" s="61">
        <v>59906.02</v>
      </c>
      <c r="K31" s="62">
        <f t="shared" si="4"/>
        <v>59906.02</v>
      </c>
      <c r="L31" s="87"/>
      <c r="M31" s="51"/>
    </row>
    <row r="32" spans="1:13" ht="15.75" thickBot="1" x14ac:dyDescent="0.3">
      <c r="A32" s="51"/>
      <c r="B32" s="51"/>
      <c r="C32" s="51"/>
      <c r="D32" s="53">
        <f>SUM(D34:D57)-SUM(PCA!I:I)-SUM('Outras ações discricionárias'!I:I)+PCA!I5+'Outras ações discricionárias'!I5</f>
        <v>7.0780515670776367E-8</v>
      </c>
      <c r="E32" s="53">
        <f>SUM(E34:E57)-$J$6</f>
        <v>0</v>
      </c>
      <c r="F32" s="51"/>
      <c r="G32" s="51"/>
      <c r="H32" s="88" t="s">
        <v>845</v>
      </c>
      <c r="I32" s="61">
        <f>SUMIF(PCA!T:T,'Resumo por unidade'!H32,PCA!I:I)</f>
        <v>57150</v>
      </c>
      <c r="J32" s="61">
        <v>59906.02</v>
      </c>
      <c r="K32" s="62">
        <f t="shared" ref="K32" si="7">J32-I32</f>
        <v>2756.0199999999968</v>
      </c>
      <c r="L32" s="87"/>
      <c r="M32" s="51"/>
    </row>
    <row r="33" spans="1:13" ht="16.5" thickBot="1" x14ac:dyDescent="0.3">
      <c r="A33" s="51"/>
      <c r="B33" s="93" t="s">
        <v>4</v>
      </c>
      <c r="C33" s="91" t="s">
        <v>811</v>
      </c>
      <c r="D33" s="91" t="s">
        <v>784</v>
      </c>
      <c r="E33" s="92" t="s">
        <v>785</v>
      </c>
      <c r="F33" s="56" t="s">
        <v>786</v>
      </c>
      <c r="G33" s="51"/>
      <c r="H33" s="88" t="s">
        <v>827</v>
      </c>
      <c r="I33" s="61">
        <f>SUMIF(PCA!T:T,'Resumo por unidade'!H33,PCA!I:I)</f>
        <v>49904.800000000003</v>
      </c>
      <c r="J33" s="61">
        <v>59906.02</v>
      </c>
      <c r="K33" s="62">
        <f t="shared" ref="K33" si="8">J33-I33</f>
        <v>10001.219999999994</v>
      </c>
      <c r="L33" s="87"/>
      <c r="M33" s="51"/>
    </row>
    <row r="34" spans="1:13" x14ac:dyDescent="0.25">
      <c r="A34" s="51"/>
      <c r="B34" s="94" t="s">
        <v>22</v>
      </c>
      <c r="C34" s="94">
        <v>3</v>
      </c>
      <c r="D34" s="61">
        <f>SUMIFS(PCA!$I:$I,PCA!$D:$D,B:B,PCA!$E:$E,C:C)+SUMIFS('Outras ações discricionárias'!$I:$I,'Outras ações discricionárias'!$D:$D,B:B,'Outras ações discricionárias'!$E:$E,C:C)</f>
        <v>68088005.61725837</v>
      </c>
      <c r="E34" s="61">
        <f>65079214+3063118-54326</f>
        <v>68088006</v>
      </c>
      <c r="F34" s="62">
        <f t="shared" ref="F34:F56" si="9">E34-D34</f>
        <v>0.38274163007736206</v>
      </c>
      <c r="G34" s="51"/>
      <c r="H34" s="88" t="s">
        <v>697</v>
      </c>
      <c r="I34" s="61">
        <f>SUMIF(PCA!T:T,'Resumo por unidade'!H34,PCA!I:I)</f>
        <v>10000</v>
      </c>
      <c r="J34" s="61">
        <v>59906.02</v>
      </c>
      <c r="K34" s="62">
        <f t="shared" si="4"/>
        <v>49906.02</v>
      </c>
      <c r="L34" s="87"/>
      <c r="M34" s="51"/>
    </row>
    <row r="35" spans="1:13" x14ac:dyDescent="0.25">
      <c r="A35" s="51"/>
      <c r="B35" s="94" t="s">
        <v>22</v>
      </c>
      <c r="C35" s="94">
        <v>4</v>
      </c>
      <c r="D35" s="61">
        <f>SUMIFS(PCA!$I:$I,PCA!$D:$D,B:B,PCA!$E:$E,C:C)+SUMIFS('Outras ações discricionárias'!$I:$I,'Outras ações discricionárias'!$D:$D,B:B,'Outras ações discricionárias'!$E:$E,C:C)</f>
        <v>653548.99999999988</v>
      </c>
      <c r="E35" s="61">
        <v>653549</v>
      </c>
      <c r="F35" s="62">
        <f t="shared" si="9"/>
        <v>0</v>
      </c>
      <c r="G35" s="51"/>
      <c r="H35" s="88" t="s">
        <v>681</v>
      </c>
      <c r="I35" s="61">
        <f>SUMIF(PCA!T:T,'Resumo por unidade'!H35,PCA!I:I)</f>
        <v>28044</v>
      </c>
      <c r="J35" s="61">
        <v>59906.02</v>
      </c>
      <c r="K35" s="62">
        <f>J35-I35</f>
        <v>31862.019999999997</v>
      </c>
      <c r="L35" s="87"/>
      <c r="M35" s="51"/>
    </row>
    <row r="36" spans="1:13" x14ac:dyDescent="0.25">
      <c r="A36" s="51"/>
      <c r="B36" s="94" t="s">
        <v>327</v>
      </c>
      <c r="C36" s="94">
        <v>3</v>
      </c>
      <c r="D36" s="61">
        <f>SUMIFS(PCA!$I:$I,PCA!$D:$D,B:B,PCA!$E:$E,C:C)+SUMIFS('Outras ações discricionárias'!$I:$I,'Outras ações discricionárias'!$D:$D,B:B,'Outras ações discricionárias'!$E:$E,C:C)</f>
        <v>4081996</v>
      </c>
      <c r="E36" s="61">
        <v>4081996</v>
      </c>
      <c r="F36" s="62">
        <f t="shared" si="9"/>
        <v>0</v>
      </c>
      <c r="G36" s="51"/>
      <c r="H36" s="88" t="s">
        <v>134</v>
      </c>
      <c r="I36" s="61">
        <f>SUMIF(PCA!T:T,'Resumo por unidade'!H36,PCA!I:I)</f>
        <v>96322.568333333329</v>
      </c>
      <c r="J36" s="61">
        <v>59906.02</v>
      </c>
      <c r="K36" s="62">
        <f t="shared" si="4"/>
        <v>-36416.548333333332</v>
      </c>
      <c r="L36" s="87"/>
      <c r="M36" s="51"/>
    </row>
    <row r="37" spans="1:13" x14ac:dyDescent="0.25">
      <c r="A37" s="51"/>
      <c r="B37" s="94" t="s">
        <v>327</v>
      </c>
      <c r="C37" s="94">
        <v>4</v>
      </c>
      <c r="D37" s="61">
        <f>SUMIFS(PCA!$I:$I,PCA!$D:$D,B:B,PCA!$E:$E,C:C)+SUMIFS('Outras ações discricionárias'!$I:$I,'Outras ações discricionárias'!$D:$D,B:B,'Outras ações discricionárias'!$E:$E,C:C)</f>
        <v>0</v>
      </c>
      <c r="E37" s="61">
        <v>0</v>
      </c>
      <c r="F37" s="62">
        <f t="shared" si="9"/>
        <v>0</v>
      </c>
      <c r="G37" s="51"/>
      <c r="H37" s="88" t="s">
        <v>810</v>
      </c>
      <c r="I37" s="61">
        <f>SUMIF(PCA!T:T,'Resumo por unidade'!H37,PCA!I:I)</f>
        <v>0</v>
      </c>
      <c r="J37" s="61">
        <v>59906.02</v>
      </c>
      <c r="K37" s="62">
        <f t="shared" si="4"/>
        <v>59906.02</v>
      </c>
      <c r="L37" s="87"/>
      <c r="M37" s="51"/>
    </row>
    <row r="38" spans="1:13" x14ac:dyDescent="0.25">
      <c r="A38" s="51"/>
      <c r="B38" s="94" t="s">
        <v>333</v>
      </c>
      <c r="C38" s="94">
        <v>3</v>
      </c>
      <c r="D38" s="61">
        <f>SUMIFS(PCA!$I:$I,PCA!$D:$D,B:B,PCA!$E:$E,C:C)+SUMIFS('Outras ações discricionárias'!$I:$I,'Outras ações discricionárias'!$D:$D,B:B,'Outras ações discricionárias'!$E:$E,C:C)</f>
        <v>72989996.375316665</v>
      </c>
      <c r="E38" s="61">
        <f>76053115-3063118</f>
        <v>72989997</v>
      </c>
      <c r="F38" s="62">
        <f t="shared" si="9"/>
        <v>0.62468333542346954</v>
      </c>
      <c r="G38" s="51"/>
      <c r="H38" s="88" t="s">
        <v>840</v>
      </c>
      <c r="I38" s="61">
        <f>SUMIF(PCA!T:T,'Resumo por unidade'!H38,PCA!I:I)</f>
        <v>12000</v>
      </c>
      <c r="J38" s="61">
        <v>59906.02</v>
      </c>
      <c r="K38" s="62">
        <f>J38-I38</f>
        <v>47906.02</v>
      </c>
      <c r="L38" s="87"/>
      <c r="M38" s="51"/>
    </row>
    <row r="39" spans="1:13" x14ac:dyDescent="0.25">
      <c r="A39" s="51"/>
      <c r="B39" s="94" t="s">
        <v>333</v>
      </c>
      <c r="C39" s="94">
        <v>4</v>
      </c>
      <c r="D39" s="61">
        <f>SUMIFS(PCA!$I:$I,PCA!$D:$D,B:B,PCA!$E:$E,C:C)+SUMIFS('Outras ações discricionárias'!$I:$I,'Outras ações discricionárias'!$D:$D,B:B,'Outras ações discricionárias'!$E:$E,C:C)</f>
        <v>3235412</v>
      </c>
      <c r="E39" s="61">
        <v>3235412</v>
      </c>
      <c r="F39" s="62">
        <f t="shared" si="9"/>
        <v>0</v>
      </c>
      <c r="G39" s="51"/>
      <c r="H39" s="88" t="s">
        <v>489</v>
      </c>
      <c r="I39" s="61">
        <f>SUMIF(PCA!T:T,'Resumo por unidade'!H39,PCA!I:I)</f>
        <v>154200</v>
      </c>
      <c r="J39" s="61">
        <v>59906.02</v>
      </c>
      <c r="K39" s="62">
        <f t="shared" si="4"/>
        <v>-94293.98000000001</v>
      </c>
      <c r="L39" s="87"/>
      <c r="M39" s="51"/>
    </row>
    <row r="40" spans="1:13" x14ac:dyDescent="0.25">
      <c r="A40" s="51"/>
      <c r="B40" s="94" t="s">
        <v>704</v>
      </c>
      <c r="C40" s="94">
        <v>3</v>
      </c>
      <c r="D40" s="61">
        <f>SUMIFS(PCA!$I:$I,PCA!$D:$D,B:B,PCA!$E:$E,C:C)+SUMIFS('Outras ações discricionárias'!$I:$I,'Outras ações discricionárias'!$D:$D,B:B,'Outras ações discricionárias'!$E:$E,C:C)</f>
        <v>2798626</v>
      </c>
      <c r="E40" s="61">
        <v>2798626</v>
      </c>
      <c r="F40" s="62">
        <f t="shared" si="9"/>
        <v>0</v>
      </c>
      <c r="G40" s="51"/>
      <c r="H40" s="88" t="s">
        <v>128</v>
      </c>
      <c r="I40" s="61">
        <f>SUMIF(PCA!T:T,'Resumo por unidade'!H40,PCA!I:I)</f>
        <v>5451.3256000000001</v>
      </c>
      <c r="J40" s="61">
        <v>59906.02</v>
      </c>
      <c r="K40" s="62">
        <f t="shared" si="4"/>
        <v>54454.694399999993</v>
      </c>
      <c r="L40" s="87"/>
      <c r="M40" s="51"/>
    </row>
    <row r="41" spans="1:13" x14ac:dyDescent="0.25">
      <c r="A41" s="51"/>
      <c r="B41" s="94" t="s">
        <v>704</v>
      </c>
      <c r="C41" s="94">
        <v>4</v>
      </c>
      <c r="D41" s="61">
        <f>SUMIFS(PCA!$I:$I,PCA!$D:$D,B:B,PCA!$E:$E,C:C)+SUMIFS('Outras ações discricionárias'!$I:$I,'Outras ações discricionárias'!$D:$D,B:B,'Outras ações discricionárias'!$E:$E,C:C)</f>
        <v>0</v>
      </c>
      <c r="E41" s="61">
        <v>0</v>
      </c>
      <c r="F41" s="62">
        <f t="shared" si="9"/>
        <v>0</v>
      </c>
      <c r="G41" s="51"/>
      <c r="H41" s="88" t="s">
        <v>713</v>
      </c>
      <c r="I41" s="61">
        <f>SUMIF(PCA!T:T,'Resumo por unidade'!H41,PCA!I:I)</f>
        <v>0</v>
      </c>
      <c r="J41" s="61">
        <v>59906.02</v>
      </c>
      <c r="K41" s="62">
        <f t="shared" si="4"/>
        <v>59906.02</v>
      </c>
      <c r="L41" s="87"/>
      <c r="M41" s="51"/>
    </row>
    <row r="42" spans="1:13" x14ac:dyDescent="0.25">
      <c r="A42" s="51"/>
      <c r="B42" s="94" t="s">
        <v>491</v>
      </c>
      <c r="C42" s="94">
        <v>3</v>
      </c>
      <c r="D42" s="61">
        <f>SUMIFS(PCA!$I:$I,PCA!$D:$D,B:B,PCA!$E:$E,C:C)+SUMIFS('Outras ações discricionárias'!$I:$I,'Outras ações discricionárias'!$D:$D,B:B,'Outras ações discricionárias'!$E:$E,C:C)</f>
        <v>4879605</v>
      </c>
      <c r="E42" s="61">
        <v>4879605</v>
      </c>
      <c r="F42" s="62">
        <f t="shared" si="9"/>
        <v>0</v>
      </c>
      <c r="G42" s="51"/>
      <c r="H42" s="88" t="s">
        <v>836</v>
      </c>
      <c r="I42" s="61">
        <f>SUMIF(PCA!T:T,'Resumo por unidade'!H42,PCA!I:I)</f>
        <v>2515</v>
      </c>
      <c r="J42" s="61">
        <v>59906.02</v>
      </c>
      <c r="K42" s="62">
        <f>J42-I42</f>
        <v>57391.02</v>
      </c>
      <c r="L42" s="87"/>
      <c r="M42" s="51"/>
    </row>
    <row r="43" spans="1:13" x14ac:dyDescent="0.25">
      <c r="A43" s="51"/>
      <c r="B43" s="94" t="s">
        <v>491</v>
      </c>
      <c r="C43" s="94">
        <v>4</v>
      </c>
      <c r="D43" s="61">
        <f>SUMIFS(PCA!$I:$I,PCA!$D:$D,B:B,PCA!$E:$E,C:C)+SUMIFS('Outras ações discricionárias'!$I:$I,'Outras ações discricionárias'!$D:$D,B:B,'Outras ações discricionárias'!$E:$E,C:C)</f>
        <v>2318861</v>
      </c>
      <c r="E43" s="61">
        <v>2318861</v>
      </c>
      <c r="F43" s="62">
        <f t="shared" si="9"/>
        <v>0</v>
      </c>
      <c r="G43" s="51"/>
      <c r="H43" s="88" t="s">
        <v>300</v>
      </c>
      <c r="I43" s="61">
        <f>SUMIF(PCA!T:T,'Resumo por unidade'!H43,PCA!I:I)</f>
        <v>33000</v>
      </c>
      <c r="J43" s="61">
        <v>59906.02</v>
      </c>
      <c r="K43" s="62">
        <f t="shared" si="4"/>
        <v>26906.019999999997</v>
      </c>
      <c r="L43" s="87"/>
      <c r="M43" s="51"/>
    </row>
    <row r="44" spans="1:13" x14ac:dyDescent="0.25">
      <c r="A44" s="51"/>
      <c r="B44" s="94" t="s">
        <v>535</v>
      </c>
      <c r="C44" s="94">
        <v>3</v>
      </c>
      <c r="D44" s="61">
        <f>SUMIFS(PCA!$I:$I,PCA!$D:$D,B:B,PCA!$E:$E,C:C)+SUMIFS('Outras ações discricionárias'!$I:$I,'Outras ações discricionárias'!$D:$D,B:B,'Outras ações discricionárias'!$E:$E,C:C)</f>
        <v>2170943.86</v>
      </c>
      <c r="E44" s="61">
        <f>2116619+54326</f>
        <v>2170945</v>
      </c>
      <c r="F44" s="62">
        <f t="shared" si="9"/>
        <v>1.1400000001303852</v>
      </c>
      <c r="G44" s="51"/>
      <c r="H44" s="88" t="s">
        <v>223</v>
      </c>
      <c r="I44" s="61">
        <f>SUMIF(PCA!T:T,'Resumo por unidade'!H44,PCA!I:I)</f>
        <v>30000</v>
      </c>
      <c r="J44" s="61">
        <v>59906.02</v>
      </c>
      <c r="K44" s="62">
        <f t="shared" si="4"/>
        <v>29906.019999999997</v>
      </c>
      <c r="L44" s="87"/>
      <c r="M44" s="51"/>
    </row>
    <row r="45" spans="1:13" x14ac:dyDescent="0.25">
      <c r="A45" s="51"/>
      <c r="B45" s="94" t="s">
        <v>535</v>
      </c>
      <c r="C45" s="94">
        <v>4</v>
      </c>
      <c r="D45" s="61">
        <f>SUMIFS(PCA!$I:$I,PCA!$D:$D,B:B,PCA!$E:$E,C:C)+SUMIFS('Outras ações discricionárias'!$I:$I,'Outras ações discricionárias'!$D:$D,B:B,'Outras ações discricionárias'!$E:$E,C:C)</f>
        <v>0</v>
      </c>
      <c r="E45" s="61">
        <v>0</v>
      </c>
      <c r="F45" s="62">
        <f t="shared" si="9"/>
        <v>0</v>
      </c>
      <c r="G45" s="51"/>
      <c r="H45" s="95" t="s">
        <v>861</v>
      </c>
      <c r="I45" s="61">
        <f>SUMIF(PCA!T:T,'Resumo por unidade'!H45,PCA!I:I)</f>
        <v>5000</v>
      </c>
      <c r="J45" s="61">
        <v>59906.02</v>
      </c>
      <c r="K45" s="62">
        <f t="shared" ref="K45" si="10">J45-I45</f>
        <v>54906.02</v>
      </c>
      <c r="L45" s="87"/>
      <c r="M45" s="51"/>
    </row>
    <row r="46" spans="1:13" x14ac:dyDescent="0.25">
      <c r="A46" s="51"/>
      <c r="B46" s="94" t="s">
        <v>564</v>
      </c>
      <c r="C46" s="94">
        <v>3</v>
      </c>
      <c r="D46" s="61">
        <f>SUMIFS(PCA!$I:$I,PCA!$D:$D,B:B,PCA!$E:$E,C:C)+SUMIFS('Outras ações discricionárias'!$I:$I,'Outras ações discricionárias'!$D:$D,B:B,'Outras ações discricionárias'!$E:$E,C:C)</f>
        <v>1613046.7333333332</v>
      </c>
      <c r="E46" s="61">
        <v>1613047</v>
      </c>
      <c r="F46" s="62">
        <f t="shared" si="9"/>
        <v>0.26666666683740914</v>
      </c>
      <c r="G46" s="51"/>
      <c r="H46" s="88" t="s">
        <v>211</v>
      </c>
      <c r="I46" s="61">
        <f>SUMIF(PCA!T:T,'Resumo por unidade'!H46,PCA!I:I)</f>
        <v>136431.2159999999</v>
      </c>
      <c r="J46" s="61">
        <v>59906.02</v>
      </c>
      <c r="K46" s="62">
        <f t="shared" si="4"/>
        <v>-76525.195999999909</v>
      </c>
      <c r="L46" s="87"/>
      <c r="M46" s="51"/>
    </row>
    <row r="47" spans="1:13" x14ac:dyDescent="0.25">
      <c r="A47" s="51"/>
      <c r="B47" s="94" t="s">
        <v>564</v>
      </c>
      <c r="C47" s="94">
        <v>4</v>
      </c>
      <c r="D47" s="61">
        <f>SUMIFS(PCA!$I:$I,PCA!$D:$D,B:B,PCA!$E:$E,C:C)+SUMIFS('Outras ações discricionárias'!$I:$I,'Outras ações discricionárias'!$D:$D,B:B,'Outras ações discricionárias'!$E:$E,C:C)</f>
        <v>0</v>
      </c>
      <c r="E47" s="61">
        <v>0</v>
      </c>
      <c r="F47" s="62">
        <f t="shared" si="9"/>
        <v>0</v>
      </c>
      <c r="G47" s="51"/>
      <c r="H47" s="88" t="s">
        <v>219</v>
      </c>
      <c r="I47" s="61">
        <f>SUMIF(PCA!T:T,'Resumo por unidade'!H47,PCA!I:I)</f>
        <v>40000</v>
      </c>
      <c r="J47" s="61">
        <v>59906.02</v>
      </c>
      <c r="K47" s="62">
        <f t="shared" si="4"/>
        <v>19906.019999999997</v>
      </c>
      <c r="L47" s="87"/>
      <c r="M47" s="51"/>
    </row>
    <row r="48" spans="1:13" x14ac:dyDescent="0.25">
      <c r="A48" s="51"/>
      <c r="B48" s="94" t="s">
        <v>570</v>
      </c>
      <c r="C48" s="94">
        <v>3</v>
      </c>
      <c r="D48" s="61">
        <f>SUMIFS(PCA!$I:$I,PCA!$D:$D,B:B,PCA!$E:$E,C:C)+SUMIFS('Outras ações discricionárias'!$I:$I,'Outras ações discricionárias'!$D:$D,B:B,'Outras ações discricionárias'!$E:$E,C:C)</f>
        <v>1016410.9400000001</v>
      </c>
      <c r="E48" s="61">
        <v>1016411</v>
      </c>
      <c r="F48" s="62">
        <f t="shared" si="9"/>
        <v>5.9999999939464033E-2</v>
      </c>
      <c r="G48" s="51"/>
      <c r="H48" s="88" t="s">
        <v>140</v>
      </c>
      <c r="I48" s="61">
        <f>SUMIF(PCA!T:T,'Resumo por unidade'!H48,PCA!I:I)</f>
        <v>0</v>
      </c>
      <c r="J48" s="61">
        <v>59906.02</v>
      </c>
      <c r="K48" s="62">
        <f t="shared" si="4"/>
        <v>59906.02</v>
      </c>
      <c r="L48" s="87"/>
      <c r="M48" s="51"/>
    </row>
    <row r="49" spans="1:13" x14ac:dyDescent="0.25">
      <c r="A49" s="51"/>
      <c r="B49" s="94" t="s">
        <v>570</v>
      </c>
      <c r="C49" s="94">
        <v>4</v>
      </c>
      <c r="D49" s="61">
        <f>SUMIFS(PCA!$I:$I,PCA!$D:$D,B:B,PCA!$E:$E,C:C)+SUMIFS('Outras ações discricionárias'!$I:$I,'Outras ações discricionárias'!$D:$D,B:B,'Outras ações discricionárias'!$E:$E,C:C)</f>
        <v>0</v>
      </c>
      <c r="E49" s="61">
        <v>0</v>
      </c>
      <c r="F49" s="62">
        <f t="shared" si="9"/>
        <v>0</v>
      </c>
      <c r="G49" s="51"/>
      <c r="H49" s="88" t="s">
        <v>326</v>
      </c>
      <c r="I49" s="61">
        <f>SUMIF(PCA!T:T,'Resumo por unidade'!H49,PCA!I:I)</f>
        <v>79878.399999999994</v>
      </c>
      <c r="J49" s="61">
        <v>59906.02</v>
      </c>
      <c r="K49" s="62">
        <f t="shared" si="4"/>
        <v>-19972.379999999997</v>
      </c>
      <c r="L49" s="87"/>
      <c r="M49" s="51"/>
    </row>
    <row r="50" spans="1:13" x14ac:dyDescent="0.25">
      <c r="A50" s="51"/>
      <c r="B50" s="94" t="s">
        <v>767</v>
      </c>
      <c r="C50" s="94">
        <v>3</v>
      </c>
      <c r="D50" s="61">
        <f>SUMIFS(PCA!$I:$I,PCA!$D:$D,B:B,PCA!$E:$E,C:C)+SUMIFS('Outras ações discricionárias'!$I:$I,'Outras ações discricionárias'!$D:$D,B:B,'Outras ações discricionárias'!$E:$E,C:C)</f>
        <v>6687398</v>
      </c>
      <c r="E50" s="61">
        <v>6687398</v>
      </c>
      <c r="F50" s="62">
        <f t="shared" si="9"/>
        <v>0</v>
      </c>
      <c r="G50" s="51"/>
      <c r="H50" s="88" t="s">
        <v>595</v>
      </c>
      <c r="I50" s="61">
        <f>SUMIF(PCA!T:T,'Resumo por unidade'!H50,PCA!I:I)</f>
        <v>38480</v>
      </c>
      <c r="J50" s="61">
        <v>59906.02</v>
      </c>
      <c r="K50" s="62">
        <f>J50-I50</f>
        <v>21426.019999999997</v>
      </c>
      <c r="L50" s="87"/>
      <c r="M50" s="51"/>
    </row>
    <row r="51" spans="1:13" x14ac:dyDescent="0.25">
      <c r="A51" s="51"/>
      <c r="B51" s="94" t="s">
        <v>767</v>
      </c>
      <c r="C51" s="94">
        <v>4</v>
      </c>
      <c r="D51" s="61">
        <f>SUMIFS(PCA!$I:$I,PCA!$D:$D,B:B,PCA!$E:$E,C:C)+SUMIFS('Outras ações discricionárias'!$I:$I,'Outras ações discricionárias'!$D:$D,B:B,'Outras ações discricionárias'!$E:$E,C:C)</f>
        <v>0</v>
      </c>
      <c r="E51" s="61">
        <v>0</v>
      </c>
      <c r="F51" s="62">
        <f t="shared" si="9"/>
        <v>0</v>
      </c>
      <c r="G51" s="51"/>
      <c r="H51" s="88" t="s">
        <v>295</v>
      </c>
      <c r="I51" s="61">
        <f>SUMIF(PCA!T:T,'Resumo por unidade'!H51,PCA!I:I)</f>
        <v>358161.29</v>
      </c>
      <c r="J51" s="61">
        <v>59906.02</v>
      </c>
      <c r="K51" s="62">
        <f t="shared" si="4"/>
        <v>-298255.26999999996</v>
      </c>
      <c r="L51" s="87"/>
      <c r="M51" s="51"/>
    </row>
    <row r="52" spans="1:13" x14ac:dyDescent="0.25">
      <c r="A52" s="51"/>
      <c r="B52" s="94" t="s">
        <v>580</v>
      </c>
      <c r="C52" s="94">
        <v>3</v>
      </c>
      <c r="D52" s="61">
        <f>SUMIFS(PCA!$I:$I,PCA!$D:$D,B:B,PCA!$E:$E,C:C)+SUMIFS('Outras ações discricionárias'!$I:$I,'Outras ações discricionárias'!$D:$D,B:B,'Outras ações discricionárias'!$E:$E,C:C)</f>
        <v>9051540</v>
      </c>
      <c r="E52" s="61">
        <v>9051540</v>
      </c>
      <c r="F52" s="62">
        <f t="shared" si="9"/>
        <v>0</v>
      </c>
      <c r="G52" s="51"/>
      <c r="H52" s="88" t="s">
        <v>837</v>
      </c>
      <c r="I52" s="61">
        <f>SUMIF(PCA!T:T,'Resumo por unidade'!H52,PCA!I:I)</f>
        <v>292738.5</v>
      </c>
      <c r="J52" s="61">
        <v>59906.02</v>
      </c>
      <c r="K52" s="62">
        <f>J52-I52</f>
        <v>-232832.48</v>
      </c>
      <c r="L52" s="87"/>
      <c r="M52" s="51"/>
    </row>
    <row r="53" spans="1:13" x14ac:dyDescent="0.25">
      <c r="A53" s="51"/>
      <c r="B53" s="94" t="s">
        <v>580</v>
      </c>
      <c r="C53" s="94">
        <v>4</v>
      </c>
      <c r="D53" s="61">
        <f>SUMIFS(PCA!$I:$I,PCA!$D:$D,B:B,PCA!$E:$E,C:C)+SUMIFS('Outras ações discricionárias'!$I:$I,'Outras ações discricionárias'!$D:$D,B:B,'Outras ações discricionárias'!$E:$E,C:C)</f>
        <v>35982</v>
      </c>
      <c r="E53" s="61">
        <v>35982</v>
      </c>
      <c r="F53" s="62">
        <f t="shared" si="9"/>
        <v>0</v>
      </c>
      <c r="G53" s="51"/>
      <c r="H53" s="88" t="s">
        <v>114</v>
      </c>
      <c r="I53" s="61">
        <f>SUMIF(PCA!T:T,'Resumo por unidade'!H53,PCA!I:I)</f>
        <v>23713.759999999995</v>
      </c>
      <c r="J53" s="61">
        <v>59906.02</v>
      </c>
      <c r="K53" s="62">
        <f t="shared" si="4"/>
        <v>36192.26</v>
      </c>
      <c r="L53" s="87"/>
      <c r="M53" s="51"/>
    </row>
    <row r="54" spans="1:13" x14ac:dyDescent="0.25">
      <c r="A54" s="51"/>
      <c r="B54" s="94" t="s">
        <v>771</v>
      </c>
      <c r="C54" s="94">
        <v>3</v>
      </c>
      <c r="D54" s="61">
        <f>SUMIFS(PCA!$I:$I,PCA!$D:$D,B:B,PCA!$E:$E,C:C)+SUMIFS('Outras ações discricionárias'!$I:$I,'Outras ações discricionárias'!$D:$D,B:B,'Outras ações discricionárias'!$E:$E,C:C)</f>
        <v>203900</v>
      </c>
      <c r="E54" s="61">
        <v>203900</v>
      </c>
      <c r="F54" s="62">
        <f t="shared" si="9"/>
        <v>0</v>
      </c>
      <c r="G54" s="51"/>
      <c r="H54" s="88" t="s">
        <v>838</v>
      </c>
      <c r="I54" s="61">
        <f>SUMIF(PCA!T:T,'Resumo por unidade'!H54,PCA!I:I)</f>
        <v>2002005.9</v>
      </c>
      <c r="J54" s="61">
        <v>59906.02</v>
      </c>
      <c r="K54" s="62">
        <f>J54-I54</f>
        <v>-1942099.88</v>
      </c>
      <c r="L54" s="87"/>
      <c r="M54" s="51"/>
    </row>
    <row r="55" spans="1:13" x14ac:dyDescent="0.25">
      <c r="A55" s="51"/>
      <c r="B55" s="94" t="s">
        <v>771</v>
      </c>
      <c r="C55" s="94">
        <v>4</v>
      </c>
      <c r="D55" s="61">
        <f>SUMIFS(PCA!$I:$I,PCA!$D:$D,B:B,PCA!$E:$E,C:C)+SUMIFS('Outras ações discricionárias'!$I:$I,'Outras ações discricionárias'!$D:$D,B:B,'Outras ações discricionárias'!$E:$E,C:C)</f>
        <v>0</v>
      </c>
      <c r="E55" s="61">
        <v>0</v>
      </c>
      <c r="F55" s="62">
        <f t="shared" si="9"/>
        <v>0</v>
      </c>
      <c r="G55" s="51"/>
      <c r="H55" s="88" t="s">
        <v>290</v>
      </c>
      <c r="I55" s="61">
        <f>SUMIF(PCA!T:T,'Resumo por unidade'!H55,PCA!I:I)</f>
        <v>25312.140000000014</v>
      </c>
      <c r="J55" s="61">
        <v>59906.02</v>
      </c>
      <c r="K55" s="62">
        <f t="shared" si="4"/>
        <v>34593.879999999983</v>
      </c>
      <c r="L55" s="87"/>
      <c r="M55" s="51"/>
    </row>
    <row r="56" spans="1:13" x14ac:dyDescent="0.25">
      <c r="A56" s="51"/>
      <c r="B56" s="94" t="s">
        <v>773</v>
      </c>
      <c r="C56" s="94">
        <v>3</v>
      </c>
      <c r="D56" s="61">
        <f>SUMIFS(PCA!$I:$I,PCA!$D:$D,B:B,PCA!$E:$E,C:C)+SUMIFS('Outras ações discricionárias'!$I:$I,'Outras ações discricionárias'!$D:$D,B:B,'Outras ações discricionárias'!$E:$E,C:C)</f>
        <v>419794</v>
      </c>
      <c r="E56" s="61">
        <v>419794</v>
      </c>
      <c r="F56" s="62">
        <f t="shared" si="9"/>
        <v>0</v>
      </c>
      <c r="G56" s="51"/>
      <c r="H56" s="88" t="s">
        <v>242</v>
      </c>
      <c r="I56" s="61">
        <f>SUMIF(PCA!T:T,'Resumo por unidade'!H56,PCA!I:I)</f>
        <v>60000</v>
      </c>
      <c r="J56" s="61">
        <v>59906.02</v>
      </c>
      <c r="K56" s="62">
        <f t="shared" si="4"/>
        <v>-93.980000000003201</v>
      </c>
      <c r="L56" s="87"/>
      <c r="M56" s="51"/>
    </row>
    <row r="57" spans="1:13" x14ac:dyDescent="0.25">
      <c r="A57" s="51"/>
      <c r="B57" s="94" t="s">
        <v>773</v>
      </c>
      <c r="C57" s="94">
        <v>4</v>
      </c>
      <c r="D57" s="61">
        <f>SUMIFS(PCA!$I:$I,PCA!$D:$D,B:B,PCA!$E:$E,C:C)+SUMIFS('Outras ações discricionárias'!$I:$I,'Outras ações discricionárias'!$D:$D,B:B,'Outras ações discricionárias'!$E:$E,C:C)</f>
        <v>0</v>
      </c>
      <c r="E57" s="61">
        <v>0</v>
      </c>
      <c r="F57" s="62">
        <f>E57-D57</f>
        <v>0</v>
      </c>
      <c r="G57" s="51"/>
      <c r="H57" s="88" t="s">
        <v>83</v>
      </c>
      <c r="I57" s="61">
        <f>SUMIF(PCA!T:T,'Resumo por unidade'!H57,PCA!I:I)</f>
        <v>4601355.9117000028</v>
      </c>
      <c r="J57" s="61">
        <v>59906.02</v>
      </c>
      <c r="K57" s="62">
        <f t="shared" si="4"/>
        <v>-4541449.8917000033</v>
      </c>
      <c r="L57" s="87"/>
      <c r="M57" s="51"/>
    </row>
    <row r="58" spans="1:13" x14ac:dyDescent="0.25">
      <c r="A58" s="51"/>
      <c r="B58" s="87"/>
      <c r="C58" s="87"/>
      <c r="D58" s="87"/>
      <c r="E58" s="87"/>
      <c r="F58" s="87"/>
      <c r="G58" s="51"/>
      <c r="H58" s="88" t="s">
        <v>316</v>
      </c>
      <c r="I58" s="61">
        <f>SUMIF(PCA!T:T,'Resumo por unidade'!H58,PCA!I:I)</f>
        <v>1320000</v>
      </c>
      <c r="J58" s="61">
        <v>59906.02</v>
      </c>
      <c r="K58" s="62">
        <f t="shared" si="4"/>
        <v>-1260093.98</v>
      </c>
      <c r="L58" s="87"/>
      <c r="M58" s="51"/>
    </row>
    <row r="59" spans="1:13" x14ac:dyDescent="0.25">
      <c r="A59" s="51"/>
      <c r="B59" s="87"/>
      <c r="C59" s="87"/>
      <c r="D59" s="87"/>
      <c r="E59" s="87"/>
      <c r="F59" s="87"/>
      <c r="G59" s="51"/>
      <c r="H59" s="88" t="s">
        <v>554</v>
      </c>
      <c r="I59" s="61">
        <f>SUMIF(PCA!T:T,'Resumo por unidade'!H59,PCA!I:I)</f>
        <v>1772941.86</v>
      </c>
      <c r="J59" s="61">
        <v>59906.02</v>
      </c>
      <c r="K59" s="62">
        <f t="shared" si="4"/>
        <v>-1713035.84</v>
      </c>
      <c r="L59" s="87"/>
      <c r="M59" s="51"/>
    </row>
    <row r="60" spans="1:13" x14ac:dyDescent="0.25">
      <c r="A60" s="51"/>
      <c r="B60" s="87"/>
      <c r="C60" s="87"/>
      <c r="D60" s="87"/>
      <c r="E60" s="87"/>
      <c r="F60" s="87"/>
      <c r="G60" s="51"/>
      <c r="H60" s="88" t="s">
        <v>244</v>
      </c>
      <c r="I60" s="61">
        <f>SUMIF(PCA!T:T,'Resumo por unidade'!H60,PCA!I:I)</f>
        <v>36829.93</v>
      </c>
      <c r="J60" s="61">
        <v>59906.02</v>
      </c>
      <c r="K60" s="62">
        <f t="shared" si="4"/>
        <v>23076.089999999997</v>
      </c>
      <c r="L60" s="87"/>
      <c r="M60" s="51"/>
    </row>
    <row r="61" spans="1:13" x14ac:dyDescent="0.25">
      <c r="A61" s="51"/>
      <c r="B61" s="87"/>
      <c r="C61" s="87"/>
      <c r="D61" s="87"/>
      <c r="E61" s="87"/>
      <c r="F61" s="87"/>
      <c r="G61" s="51"/>
      <c r="H61" s="88" t="s">
        <v>120</v>
      </c>
      <c r="I61" s="61">
        <f>SUMIF(PCA!T:T,'Resumo por unidade'!H61,PCA!I:I)</f>
        <v>287976.674</v>
      </c>
      <c r="J61" s="61">
        <v>59906.02</v>
      </c>
      <c r="K61" s="62">
        <f t="shared" si="4"/>
        <v>-228070.65400000001</v>
      </c>
      <c r="L61" s="87"/>
      <c r="M61" s="51"/>
    </row>
    <row r="62" spans="1:13" x14ac:dyDescent="0.25">
      <c r="A62" s="51"/>
      <c r="B62" s="87"/>
      <c r="C62" s="87"/>
      <c r="D62" s="87"/>
      <c r="E62" s="87"/>
      <c r="F62" s="87"/>
      <c r="G62" s="51"/>
      <c r="H62" s="88" t="s">
        <v>664</v>
      </c>
      <c r="I62" s="61">
        <f>SUMIF(PCA!T:T,'Resumo por unidade'!H62,PCA!I:I)</f>
        <v>3363</v>
      </c>
      <c r="J62" s="61">
        <v>59906.02</v>
      </c>
      <c r="K62" s="62">
        <f t="shared" si="4"/>
        <v>56543.02</v>
      </c>
      <c r="L62" s="87"/>
      <c r="M62" s="51"/>
    </row>
    <row r="63" spans="1:13" x14ac:dyDescent="0.25">
      <c r="A63" s="51"/>
      <c r="B63" s="87"/>
      <c r="C63" s="87"/>
      <c r="D63" s="87"/>
      <c r="E63" s="87"/>
      <c r="F63" s="87"/>
      <c r="G63" s="51"/>
      <c r="H63" s="88" t="s">
        <v>64</v>
      </c>
      <c r="I63" s="61">
        <f>SUMIF(PCA!T:T,'Resumo por unidade'!H63,PCA!I:I)</f>
        <v>1790805.31</v>
      </c>
      <c r="J63" s="61">
        <v>59906.02</v>
      </c>
      <c r="K63" s="62">
        <f t="shared" si="4"/>
        <v>-1730899.29</v>
      </c>
      <c r="L63" s="87"/>
      <c r="M63" s="51"/>
    </row>
    <row r="64" spans="1:13" x14ac:dyDescent="0.25">
      <c r="A64" s="51"/>
      <c r="B64" s="87"/>
      <c r="C64" s="87"/>
      <c r="D64" s="87"/>
      <c r="E64" s="87"/>
      <c r="F64" s="87"/>
      <c r="G64" s="51"/>
      <c r="H64" s="88" t="s">
        <v>636</v>
      </c>
      <c r="I64" s="61">
        <f>SUMIF(PCA!T:T,'Resumo por unidade'!H64,PCA!I:I)</f>
        <v>3745</v>
      </c>
      <c r="J64" s="61">
        <v>59906.02</v>
      </c>
      <c r="K64" s="62">
        <f t="shared" si="4"/>
        <v>56161.02</v>
      </c>
      <c r="L64" s="87"/>
      <c r="M64" s="51"/>
    </row>
    <row r="65" spans="1:13" x14ac:dyDescent="0.25">
      <c r="A65" s="51"/>
      <c r="B65" s="87"/>
      <c r="C65" s="87"/>
      <c r="D65" s="87"/>
      <c r="E65" s="87"/>
      <c r="F65" s="87"/>
      <c r="G65" s="51"/>
      <c r="H65" s="88" t="s">
        <v>812</v>
      </c>
      <c r="I65" s="61">
        <f>SUMIF(PCA!T:T,'Resumo por unidade'!H65,PCA!I:I)</f>
        <v>0</v>
      </c>
      <c r="J65" s="61">
        <v>59906.02</v>
      </c>
      <c r="K65" s="62">
        <f t="shared" si="4"/>
        <v>59906.02</v>
      </c>
      <c r="L65" s="87"/>
      <c r="M65" s="51"/>
    </row>
    <row r="66" spans="1:13" x14ac:dyDescent="0.25">
      <c r="A66" s="51"/>
      <c r="B66" s="87"/>
      <c r="C66" s="87"/>
      <c r="D66" s="87"/>
      <c r="E66" s="87"/>
      <c r="F66" s="87"/>
      <c r="G66" s="51"/>
      <c r="H66" s="88" t="s">
        <v>813</v>
      </c>
      <c r="I66" s="61">
        <f>SUMIF(PCA!T:T,'Resumo por unidade'!H66,PCA!I:I)</f>
        <v>0</v>
      </c>
      <c r="J66" s="61">
        <v>59906.02</v>
      </c>
      <c r="K66" s="62">
        <f t="shared" si="4"/>
        <v>59906.02</v>
      </c>
      <c r="L66" s="87"/>
      <c r="M66" s="51"/>
    </row>
    <row r="67" spans="1:13" x14ac:dyDescent="0.25">
      <c r="A67" s="51"/>
      <c r="B67" s="87"/>
      <c r="C67" s="87"/>
      <c r="D67" s="87"/>
      <c r="E67" s="87"/>
      <c r="F67" s="87"/>
      <c r="G67" s="51"/>
      <c r="H67" s="88" t="s">
        <v>814</v>
      </c>
      <c r="I67" s="61">
        <f>SUMIF(PCA!T:T,'Resumo por unidade'!H67,PCA!I:I)</f>
        <v>0</v>
      </c>
      <c r="J67" s="61">
        <v>59906.02</v>
      </c>
      <c r="K67" s="62">
        <f t="shared" si="4"/>
        <v>59906.02</v>
      </c>
      <c r="L67" s="87"/>
      <c r="M67" s="51"/>
    </row>
    <row r="68" spans="1:13" x14ac:dyDescent="0.25">
      <c r="A68" s="51"/>
      <c r="B68" s="87"/>
      <c r="C68" s="87"/>
      <c r="D68" s="87"/>
      <c r="E68" s="87"/>
      <c r="F68" s="87"/>
      <c r="G68" s="51"/>
      <c r="H68" s="95" t="s">
        <v>227</v>
      </c>
      <c r="I68" s="61">
        <f>SUMIF(PCA!T:T,'Resumo por unidade'!H68,PCA!I:I)</f>
        <v>40000</v>
      </c>
      <c r="J68" s="61">
        <v>59906.02</v>
      </c>
      <c r="K68" s="62">
        <f t="shared" si="4"/>
        <v>19906.019999999997</v>
      </c>
      <c r="L68" s="87"/>
      <c r="M68" s="51"/>
    </row>
    <row r="69" spans="1:13" x14ac:dyDescent="0.25">
      <c r="A69" s="51"/>
      <c r="B69" s="87"/>
      <c r="C69" s="87"/>
      <c r="D69" s="87"/>
      <c r="E69" s="87"/>
      <c r="F69" s="87"/>
      <c r="G69" s="51"/>
      <c r="H69" s="88" t="s">
        <v>256</v>
      </c>
      <c r="I69" s="61">
        <f>SUMIF(PCA!T:T,'Resumo por unidade'!H69,PCA!I:I)</f>
        <v>1078715.28</v>
      </c>
      <c r="J69" s="61">
        <v>59906.02</v>
      </c>
      <c r="K69" s="62">
        <f t="shared" si="4"/>
        <v>-1018809.26</v>
      </c>
      <c r="L69" s="87"/>
      <c r="M69" s="51"/>
    </row>
    <row r="70" spans="1:13" x14ac:dyDescent="0.25">
      <c r="A70" s="51"/>
      <c r="B70" s="87"/>
      <c r="C70" s="87"/>
      <c r="D70" s="87"/>
      <c r="E70" s="87"/>
      <c r="F70" s="87"/>
      <c r="G70" s="51"/>
      <c r="H70" s="88" t="s">
        <v>178</v>
      </c>
      <c r="I70" s="61">
        <f>SUMIF(PCA!T:T,'Resumo por unidade'!H70,PCA!I:I)</f>
        <v>0</v>
      </c>
      <c r="J70" s="61">
        <v>59906.02</v>
      </c>
      <c r="K70" s="62">
        <f t="shared" si="4"/>
        <v>59906.02</v>
      </c>
      <c r="L70" s="87"/>
      <c r="M70" s="51"/>
    </row>
    <row r="71" spans="1:13" x14ac:dyDescent="0.25">
      <c r="A71" s="51"/>
      <c r="B71" s="87"/>
      <c r="C71" s="87"/>
      <c r="D71" s="87"/>
      <c r="E71" s="87"/>
      <c r="F71" s="87"/>
      <c r="G71" s="51"/>
      <c r="H71" s="88" t="s">
        <v>815</v>
      </c>
      <c r="I71" s="61">
        <f>SUMIF(PCA!T:T,'Resumo por unidade'!H71,PCA!I:I)</f>
        <v>0</v>
      </c>
      <c r="J71" s="61">
        <v>59906.02</v>
      </c>
      <c r="K71" s="62">
        <f t="shared" si="4"/>
        <v>59906.02</v>
      </c>
      <c r="L71" s="87"/>
      <c r="M71" s="51"/>
    </row>
    <row r="72" spans="1:13" x14ac:dyDescent="0.25">
      <c r="A72" s="51"/>
      <c r="B72" s="87"/>
      <c r="C72" s="87"/>
      <c r="D72" s="87"/>
      <c r="E72" s="87"/>
      <c r="F72" s="87"/>
      <c r="G72" s="51"/>
      <c r="H72" s="95" t="s">
        <v>548</v>
      </c>
      <c r="I72" s="61">
        <f>SUMIF(PCA!T:T,'Resumo por unidade'!H72,PCA!I:I)</f>
        <v>5100</v>
      </c>
      <c r="J72" s="61">
        <v>59906.02</v>
      </c>
      <c r="K72" s="62">
        <f t="shared" ref="K72" si="11">J72-I72</f>
        <v>54806.02</v>
      </c>
      <c r="L72" s="87"/>
      <c r="M72" s="51"/>
    </row>
    <row r="73" spans="1:13" x14ac:dyDescent="0.25">
      <c r="A73" s="51"/>
      <c r="B73" s="87"/>
      <c r="C73" s="87"/>
      <c r="D73" s="87"/>
      <c r="E73" s="87"/>
      <c r="F73" s="87"/>
      <c r="G73" s="51"/>
      <c r="H73" s="88" t="s">
        <v>575</v>
      </c>
      <c r="I73" s="61">
        <f>SUMIF(PCA!T:T,'Resumo por unidade'!H73,PCA!I:I)</f>
        <v>790540.78</v>
      </c>
      <c r="J73" s="61">
        <v>59906.02</v>
      </c>
      <c r="K73" s="62">
        <f t="shared" si="4"/>
        <v>-730634.76</v>
      </c>
      <c r="L73" s="87"/>
      <c r="M73" s="51"/>
    </row>
    <row r="74" spans="1:13" x14ac:dyDescent="0.25">
      <c r="A74" s="51"/>
      <c r="B74" s="87"/>
      <c r="C74" s="87"/>
      <c r="D74" s="87"/>
      <c r="E74" s="87"/>
      <c r="F74" s="87"/>
      <c r="G74" s="51"/>
      <c r="H74" s="88" t="s">
        <v>161</v>
      </c>
      <c r="I74" s="61">
        <f>SUMIF(PCA!T:T,'Resumo por unidade'!H74,PCA!I:I)</f>
        <v>2996.7766666666666</v>
      </c>
      <c r="J74" s="61">
        <v>59906.02</v>
      </c>
      <c r="K74" s="62">
        <f t="shared" si="4"/>
        <v>56909.243333333332</v>
      </c>
      <c r="L74" s="87"/>
      <c r="M74" s="51"/>
    </row>
    <row r="75" spans="1:13" x14ac:dyDescent="0.25">
      <c r="A75" s="51"/>
      <c r="B75" s="87"/>
      <c r="C75" s="87"/>
      <c r="D75" s="87"/>
      <c r="E75" s="87"/>
      <c r="F75" s="87"/>
      <c r="G75" s="51"/>
      <c r="H75" s="88" t="s">
        <v>420</v>
      </c>
      <c r="I75" s="61">
        <f>SUMIF(PCA!T:T,'Resumo por unidade'!H75,PCA!I:I)</f>
        <v>39799.998650000001</v>
      </c>
      <c r="J75" s="61">
        <v>59906.02</v>
      </c>
      <c r="K75" s="62">
        <f t="shared" si="4"/>
        <v>20106.021349999995</v>
      </c>
      <c r="L75" s="87"/>
      <c r="M75" s="51"/>
    </row>
    <row r="76" spans="1:13" x14ac:dyDescent="0.25">
      <c r="A76" s="51"/>
      <c r="B76" s="87"/>
      <c r="C76" s="87"/>
      <c r="D76" s="87"/>
      <c r="E76" s="87"/>
      <c r="F76" s="87"/>
      <c r="G76" s="51"/>
      <c r="H76" s="88" t="s">
        <v>816</v>
      </c>
      <c r="I76" s="61">
        <f>SUMIF(PCA!T:T,'Resumo por unidade'!H76,PCA!I:I)</f>
        <v>0</v>
      </c>
      <c r="J76" s="61">
        <v>59906.02</v>
      </c>
      <c r="K76" s="62">
        <f t="shared" si="4"/>
        <v>59906.02</v>
      </c>
      <c r="L76" s="87"/>
      <c r="M76" s="51"/>
    </row>
    <row r="77" spans="1:13" x14ac:dyDescent="0.25">
      <c r="A77" s="51"/>
      <c r="B77" s="87"/>
      <c r="C77" s="87"/>
      <c r="D77" s="87"/>
      <c r="E77" s="87"/>
      <c r="F77" s="87"/>
      <c r="G77" s="51"/>
      <c r="H77" s="88" t="s">
        <v>389</v>
      </c>
      <c r="I77" s="61">
        <f>SUMIF(PCA!T:T,'Resumo por unidade'!H77,PCA!I:I)</f>
        <v>636180</v>
      </c>
      <c r="J77" s="61">
        <v>59906.02</v>
      </c>
      <c r="K77" s="62">
        <f t="shared" si="4"/>
        <v>-576273.98</v>
      </c>
      <c r="L77" s="87"/>
      <c r="M77" s="51"/>
    </row>
    <row r="78" spans="1:13" x14ac:dyDescent="0.25">
      <c r="A78" s="51"/>
      <c r="B78" s="87"/>
      <c r="C78" s="87"/>
      <c r="D78" s="87"/>
      <c r="E78" s="87"/>
      <c r="F78" s="87"/>
      <c r="G78" s="51"/>
      <c r="H78" s="88" t="s">
        <v>238</v>
      </c>
      <c r="I78" s="61">
        <f>SUMIF(PCA!T:T,'Resumo por unidade'!H78,PCA!I:I)</f>
        <v>9635</v>
      </c>
      <c r="J78" s="61">
        <v>59906.02</v>
      </c>
      <c r="K78" s="62">
        <f t="shared" si="4"/>
        <v>50271.02</v>
      </c>
      <c r="L78" s="87"/>
      <c r="M78" s="51"/>
    </row>
    <row r="79" spans="1:13" x14ac:dyDescent="0.25">
      <c r="A79" s="51"/>
      <c r="B79" s="87"/>
      <c r="C79" s="87"/>
      <c r="D79" s="87"/>
      <c r="E79" s="87"/>
      <c r="F79" s="87"/>
      <c r="G79" s="51"/>
      <c r="H79" s="88" t="s">
        <v>606</v>
      </c>
      <c r="I79" s="61">
        <f>SUMIF(PCA!T:T,'Resumo por unidade'!H79,PCA!I:I)</f>
        <v>280296</v>
      </c>
      <c r="J79" s="61">
        <v>59906.02</v>
      </c>
      <c r="K79" s="62">
        <f t="shared" si="4"/>
        <v>-220389.98</v>
      </c>
      <c r="L79" s="87"/>
      <c r="M79" s="51"/>
    </row>
    <row r="80" spans="1:13" x14ac:dyDescent="0.25">
      <c r="A80" s="51"/>
      <c r="B80" s="87"/>
      <c r="C80" s="87"/>
      <c r="D80" s="87"/>
      <c r="E80" s="87"/>
      <c r="F80" s="87"/>
      <c r="G80" s="51"/>
      <c r="H80" s="88" t="s">
        <v>817</v>
      </c>
      <c r="I80" s="61">
        <f>SUMIF(PCA!T:T,'Resumo por unidade'!H80,PCA!I:I)</f>
        <v>0</v>
      </c>
      <c r="J80" s="61">
        <v>59906.02</v>
      </c>
      <c r="K80" s="62">
        <f t="shared" si="4"/>
        <v>59906.02</v>
      </c>
      <c r="L80" s="87"/>
      <c r="M80" s="51"/>
    </row>
    <row r="81" spans="1:13" x14ac:dyDescent="0.25">
      <c r="A81" s="51"/>
      <c r="B81" s="87"/>
      <c r="C81" s="87"/>
      <c r="D81" s="87"/>
      <c r="E81" s="87"/>
      <c r="F81" s="87"/>
      <c r="G81" s="51"/>
      <c r="H81" s="88" t="s">
        <v>601</v>
      </c>
      <c r="I81" s="61">
        <f>SUMIF(PCA!T:T,'Resumo por unidade'!H81,PCA!I:I)</f>
        <v>14300</v>
      </c>
      <c r="J81" s="61">
        <v>59906.02</v>
      </c>
      <c r="K81" s="62">
        <f t="shared" si="4"/>
        <v>45606.02</v>
      </c>
      <c r="L81" s="87"/>
      <c r="M81" s="51"/>
    </row>
    <row r="82" spans="1:13" x14ac:dyDescent="0.25">
      <c r="A82" s="51"/>
      <c r="B82" s="87"/>
      <c r="C82" s="87"/>
      <c r="D82" s="87"/>
      <c r="E82" s="87"/>
      <c r="F82" s="87"/>
      <c r="G82" s="51"/>
      <c r="H82" s="88" t="s">
        <v>101</v>
      </c>
      <c r="I82" s="61">
        <f>SUMIF(PCA!T:T,'Resumo por unidade'!H82,PCA!I:I)</f>
        <v>37159.82</v>
      </c>
      <c r="J82" s="61">
        <v>59906.02</v>
      </c>
      <c r="K82" s="62">
        <f t="shared" si="4"/>
        <v>22746.199999999997</v>
      </c>
      <c r="L82" s="87"/>
      <c r="M82" s="51"/>
    </row>
    <row r="83" spans="1:13" x14ac:dyDescent="0.25">
      <c r="A83" s="51"/>
      <c r="B83" s="87"/>
      <c r="C83" s="87"/>
      <c r="D83" s="87"/>
      <c r="E83" s="87"/>
      <c r="F83" s="87"/>
      <c r="G83" s="51"/>
      <c r="H83" s="88" t="s">
        <v>59</v>
      </c>
      <c r="I83" s="61">
        <f>SUMIF(PCA!T:T,'Resumo por unidade'!H83,PCA!I:I)</f>
        <v>269000</v>
      </c>
      <c r="J83" s="61">
        <v>59906.02</v>
      </c>
      <c r="K83" s="62">
        <f t="shared" si="4"/>
        <v>-209093.98</v>
      </c>
      <c r="L83" s="87"/>
      <c r="M83" s="51"/>
    </row>
    <row r="84" spans="1:13" x14ac:dyDescent="0.25">
      <c r="A84" s="51"/>
      <c r="B84" s="87"/>
      <c r="C84" s="87"/>
      <c r="D84" s="87"/>
      <c r="E84" s="87"/>
      <c r="F84" s="87"/>
      <c r="G84" s="51"/>
      <c r="H84" s="88" t="s">
        <v>632</v>
      </c>
      <c r="I84" s="61">
        <f>SUMIF(PCA!T:T,'Resumo por unidade'!H84,PCA!I:I)</f>
        <v>52000</v>
      </c>
      <c r="J84" s="61">
        <v>59906.02</v>
      </c>
      <c r="K84" s="62">
        <f t="shared" si="4"/>
        <v>7906.0199999999968</v>
      </c>
      <c r="L84" s="87"/>
      <c r="M84" s="51"/>
    </row>
    <row r="85" spans="1:13" x14ac:dyDescent="0.25">
      <c r="A85" s="51"/>
      <c r="B85" s="87"/>
      <c r="C85" s="87"/>
      <c r="D85" s="87"/>
      <c r="E85" s="87"/>
      <c r="F85" s="87"/>
      <c r="G85" s="51"/>
      <c r="H85" s="88" t="s">
        <v>364</v>
      </c>
      <c r="I85" s="61">
        <f>SUMIF(PCA!T:T,'Resumo por unidade'!H85,PCA!I:I)</f>
        <v>3279221.9</v>
      </c>
      <c r="J85" s="61">
        <v>59906.02</v>
      </c>
      <c r="K85" s="62">
        <f t="shared" si="4"/>
        <v>-3219315.88</v>
      </c>
      <c r="L85" s="87"/>
      <c r="M85" s="51"/>
    </row>
    <row r="86" spans="1:13" x14ac:dyDescent="0.25">
      <c r="A86" s="51"/>
      <c r="B86" s="87"/>
      <c r="C86" s="87"/>
      <c r="D86" s="87"/>
      <c r="E86" s="87"/>
      <c r="F86" s="87"/>
      <c r="G86" s="51"/>
      <c r="H86" s="88" t="s">
        <v>540</v>
      </c>
      <c r="I86" s="61">
        <f>SUMIF(PCA!T:T,'Resumo por unidade'!H86,PCA!I:I)</f>
        <v>228715</v>
      </c>
      <c r="J86" s="61">
        <v>59906.02</v>
      </c>
      <c r="K86" s="62">
        <f t="shared" si="4"/>
        <v>-168808.98</v>
      </c>
      <c r="L86" s="87"/>
      <c r="M86" s="51"/>
    </row>
    <row r="87" spans="1:13" x14ac:dyDescent="0.25">
      <c r="A87" s="51"/>
      <c r="B87" s="87"/>
      <c r="C87" s="87"/>
      <c r="D87" s="87"/>
      <c r="E87" s="87"/>
      <c r="F87" s="87"/>
      <c r="G87" s="51"/>
      <c r="H87" s="88" t="s">
        <v>151</v>
      </c>
      <c r="I87" s="61">
        <f>SUMIF(PCA!T:T,'Resumo por unidade'!H87,PCA!I:I)</f>
        <v>2327589.0649999999</v>
      </c>
      <c r="J87" s="61">
        <v>59906.02</v>
      </c>
      <c r="K87" s="62">
        <f t="shared" si="4"/>
        <v>-2267683.0449999999</v>
      </c>
      <c r="L87" s="87"/>
      <c r="M87" s="51"/>
    </row>
    <row r="88" spans="1:13" x14ac:dyDescent="0.25">
      <c r="A88" s="51"/>
      <c r="B88" s="87"/>
      <c r="C88" s="87"/>
      <c r="D88" s="87"/>
      <c r="E88" s="87"/>
      <c r="F88" s="87"/>
      <c r="G88" s="51"/>
      <c r="H88" s="88" t="s">
        <v>266</v>
      </c>
      <c r="I88" s="61">
        <f>SUMIF(PCA!T:T,'Resumo por unidade'!H88,PCA!I:I)</f>
        <v>6100791.4901999999</v>
      </c>
      <c r="J88" s="61">
        <v>59906.02</v>
      </c>
      <c r="K88" s="62">
        <f t="shared" si="4"/>
        <v>-6040885.4702000003</v>
      </c>
      <c r="L88" s="87"/>
      <c r="M88" s="51"/>
    </row>
    <row r="89" spans="1:13" x14ac:dyDescent="0.25">
      <c r="A89" s="51"/>
      <c r="B89" s="87"/>
      <c r="C89" s="87"/>
      <c r="D89" s="87"/>
      <c r="E89" s="87"/>
      <c r="F89" s="87"/>
      <c r="G89" s="51"/>
      <c r="H89" s="88" t="s">
        <v>450</v>
      </c>
      <c r="I89" s="61">
        <f>SUMIF(PCA!T:T,'Resumo por unidade'!H89,PCA!I:I)</f>
        <v>15657</v>
      </c>
      <c r="J89" s="61">
        <v>59906.02</v>
      </c>
      <c r="K89" s="62">
        <f t="shared" si="4"/>
        <v>44249.02</v>
      </c>
      <c r="L89" s="87"/>
      <c r="M89" s="51"/>
    </row>
    <row r="90" spans="1:13" x14ac:dyDescent="0.25">
      <c r="A90" s="51"/>
      <c r="B90" s="87"/>
      <c r="C90" s="87"/>
      <c r="D90" s="87"/>
      <c r="E90" s="87"/>
      <c r="F90" s="87"/>
      <c r="G90" s="51"/>
      <c r="H90" s="88" t="s">
        <v>818</v>
      </c>
      <c r="I90" s="61">
        <f>SUMIF(PCA!T:T,'Resumo por unidade'!H90,PCA!I:I)</f>
        <v>0</v>
      </c>
      <c r="J90" s="61">
        <v>59906.02</v>
      </c>
      <c r="K90" s="62">
        <f t="shared" si="4"/>
        <v>59906.02</v>
      </c>
      <c r="L90" s="87"/>
      <c r="M90" s="51"/>
    </row>
    <row r="91" spans="1:13" x14ac:dyDescent="0.25">
      <c r="A91" s="51"/>
      <c r="B91" s="87"/>
      <c r="C91" s="87"/>
      <c r="D91" s="87"/>
      <c r="E91" s="87"/>
      <c r="F91" s="87"/>
      <c r="G91" s="51"/>
      <c r="H91" s="88" t="s">
        <v>648</v>
      </c>
      <c r="I91" s="61">
        <f>SUMIF(PCA!T:T,'Resumo por unidade'!H91,PCA!I:I)</f>
        <v>10030</v>
      </c>
      <c r="J91" s="61">
        <v>59906.02</v>
      </c>
      <c r="K91" s="62">
        <f t="shared" si="4"/>
        <v>49876.02</v>
      </c>
      <c r="L91" s="87"/>
      <c r="M91" s="51"/>
    </row>
    <row r="92" spans="1:13" x14ac:dyDescent="0.25">
      <c r="A92" s="51"/>
      <c r="B92" s="87"/>
      <c r="C92" s="87"/>
      <c r="D92" s="87"/>
      <c r="E92" s="87"/>
      <c r="F92" s="87"/>
      <c r="G92" s="51"/>
      <c r="H92" s="88" t="s">
        <v>819</v>
      </c>
      <c r="I92" s="61">
        <f>SUMIF(PCA!T:T,'Resumo por unidade'!H92,PCA!I:I)</f>
        <v>0</v>
      </c>
      <c r="J92" s="61">
        <v>59906.02</v>
      </c>
      <c r="K92" s="62">
        <f t="shared" si="4"/>
        <v>59906.02</v>
      </c>
      <c r="L92" s="87"/>
      <c r="M92" s="51"/>
    </row>
    <row r="93" spans="1:13" x14ac:dyDescent="0.25">
      <c r="A93" s="51"/>
      <c r="B93" s="87"/>
      <c r="C93" s="87"/>
      <c r="D93" s="87"/>
      <c r="E93" s="87"/>
      <c r="F93" s="87"/>
      <c r="G93" s="51"/>
      <c r="H93" s="88" t="s">
        <v>88</v>
      </c>
      <c r="I93" s="61">
        <f>SUMIF(PCA!T:T,'Resumo por unidade'!H93,PCA!I:I)</f>
        <v>450600.33849999995</v>
      </c>
      <c r="J93" s="61">
        <v>59906.02</v>
      </c>
      <c r="K93" s="62">
        <f t="shared" ref="K93" si="12">J93-I93</f>
        <v>-390694.31849999994</v>
      </c>
      <c r="L93" s="87"/>
      <c r="M93" s="51"/>
    </row>
    <row r="94" spans="1:13" x14ac:dyDescent="0.25">
      <c r="A94" s="51"/>
      <c r="B94" s="87"/>
      <c r="C94" s="87"/>
      <c r="D94" s="87"/>
      <c r="E94" s="87"/>
      <c r="F94" s="87"/>
      <c r="G94" s="51"/>
      <c r="H94" s="88" t="s">
        <v>109</v>
      </c>
      <c r="I94" s="61">
        <f>SUMIF(PCA!T:T,'Resumo por unidade'!H94,PCA!I:I)</f>
        <v>35000</v>
      </c>
      <c r="J94" s="61">
        <v>59906.02</v>
      </c>
      <c r="K94" s="62">
        <f t="shared" si="4"/>
        <v>24906.019999999997</v>
      </c>
      <c r="L94" s="87"/>
      <c r="M94" s="51"/>
    </row>
    <row r="95" spans="1:13" x14ac:dyDescent="0.25">
      <c r="A95" s="51"/>
      <c r="B95" s="87"/>
      <c r="C95" s="87"/>
      <c r="D95" s="87"/>
      <c r="E95" s="87"/>
      <c r="F95" s="87"/>
      <c r="G95" s="51"/>
      <c r="H95" s="88" t="s">
        <v>93</v>
      </c>
      <c r="I95" s="61">
        <f>SUMIF(PCA!T:T,'Resumo por unidade'!H95,PCA!I:I)</f>
        <v>300000</v>
      </c>
      <c r="J95" s="61">
        <v>59906.02</v>
      </c>
      <c r="K95" s="62">
        <f t="shared" si="4"/>
        <v>-240093.98</v>
      </c>
      <c r="L95" s="87"/>
      <c r="M95" s="51"/>
    </row>
    <row r="96" spans="1:13" x14ac:dyDescent="0.25">
      <c r="A96" s="51"/>
      <c r="B96" s="87"/>
      <c r="C96" s="87"/>
      <c r="D96" s="87"/>
      <c r="E96" s="87"/>
      <c r="F96" s="87"/>
      <c r="G96" s="51"/>
      <c r="H96" s="88" t="s">
        <v>261</v>
      </c>
      <c r="I96" s="61">
        <f>SUMIF(PCA!T:T,'Resumo por unidade'!H96,PCA!I:I)</f>
        <v>1617010.1461999954</v>
      </c>
      <c r="J96" s="61">
        <v>59906.02</v>
      </c>
      <c r="K96" s="62">
        <f t="shared" si="4"/>
        <v>-1557104.1261999954</v>
      </c>
      <c r="L96" s="87"/>
      <c r="M96" s="51"/>
    </row>
    <row r="97" spans="1:13" x14ac:dyDescent="0.25">
      <c r="A97" s="51"/>
      <c r="B97" s="87"/>
      <c r="C97" s="87"/>
      <c r="D97" s="87"/>
      <c r="E97" s="87"/>
      <c r="F97" s="87"/>
      <c r="G97" s="51"/>
      <c r="H97" s="88" t="s">
        <v>275</v>
      </c>
      <c r="I97" s="61">
        <f>SUMIF(PCA!T:T,'Resumo por unidade'!H97,PCA!I:I)</f>
        <v>6073289</v>
      </c>
      <c r="J97" s="61">
        <v>59906.02</v>
      </c>
      <c r="K97" s="62">
        <f t="shared" si="4"/>
        <v>-6013382.9800000004</v>
      </c>
      <c r="L97" s="87"/>
      <c r="M97" s="51"/>
    </row>
    <row r="98" spans="1:13" x14ac:dyDescent="0.25">
      <c r="A98" s="51"/>
      <c r="B98" s="87"/>
      <c r="C98" s="87"/>
      <c r="D98" s="87"/>
      <c r="E98" s="87"/>
      <c r="F98" s="87"/>
      <c r="G98" s="51"/>
      <c r="H98" s="88" t="s">
        <v>670</v>
      </c>
      <c r="I98" s="61">
        <f>SUMIF(PCA!T:T,'Resumo por unidade'!H98,PCA!I:I)</f>
        <v>500</v>
      </c>
      <c r="J98" s="61">
        <v>59906.02</v>
      </c>
      <c r="K98" s="62">
        <f t="shared" si="4"/>
        <v>59406.02</v>
      </c>
      <c r="L98" s="87"/>
      <c r="M98" s="51"/>
    </row>
    <row r="99" spans="1:13" x14ac:dyDescent="0.25">
      <c r="A99" s="51"/>
      <c r="B99" s="87"/>
      <c r="C99" s="87"/>
      <c r="D99" s="87"/>
      <c r="E99" s="87"/>
      <c r="F99" s="87"/>
      <c r="G99" s="51"/>
      <c r="H99" s="88" t="s">
        <v>183</v>
      </c>
      <c r="I99" s="61">
        <f>SUMIF(PCA!T:T,'Resumo por unidade'!H99,PCA!I:I)</f>
        <v>0</v>
      </c>
      <c r="J99" s="61">
        <v>59906.02</v>
      </c>
      <c r="K99" s="62">
        <f t="shared" si="4"/>
        <v>59906.02</v>
      </c>
      <c r="L99" s="87"/>
      <c r="M99" s="51"/>
    </row>
    <row r="100" spans="1:13" x14ac:dyDescent="0.25">
      <c r="A100" s="51"/>
      <c r="B100" s="87"/>
      <c r="C100" s="87"/>
      <c r="D100" s="87"/>
      <c r="E100" s="87"/>
      <c r="F100" s="87"/>
      <c r="G100" s="51"/>
      <c r="H100" s="88" t="s">
        <v>455</v>
      </c>
      <c r="I100" s="61">
        <f>SUMIF(PCA!T:T,'Resumo por unidade'!H100,PCA!I:I)</f>
        <v>66846.486000000004</v>
      </c>
      <c r="J100" s="61">
        <v>59906.02</v>
      </c>
      <c r="K100" s="62">
        <f t="shared" si="4"/>
        <v>-6940.4660000000076</v>
      </c>
      <c r="L100" s="87"/>
      <c r="M100" s="51"/>
    </row>
    <row r="101" spans="1:13" x14ac:dyDescent="0.25">
      <c r="A101" s="51"/>
      <c r="B101" s="87"/>
      <c r="C101" s="87"/>
      <c r="D101" s="87"/>
      <c r="E101" s="87"/>
      <c r="F101" s="87"/>
      <c r="G101" s="51"/>
      <c r="H101" s="88" t="s">
        <v>395</v>
      </c>
      <c r="I101" s="61">
        <f>SUMIF(PCA!T:T,'Resumo por unidade'!H101,PCA!I:I)</f>
        <v>300000</v>
      </c>
      <c r="J101" s="61">
        <v>59906.02</v>
      </c>
      <c r="K101" s="62">
        <f t="shared" si="4"/>
        <v>-240093.98</v>
      </c>
      <c r="L101" s="87"/>
      <c r="M101" s="51"/>
    </row>
    <row r="102" spans="1:13" x14ac:dyDescent="0.25">
      <c r="A102" s="51"/>
      <c r="B102" s="87"/>
      <c r="C102" s="87"/>
      <c r="D102" s="87"/>
      <c r="E102" s="87"/>
      <c r="F102" s="87"/>
      <c r="G102" s="51"/>
      <c r="H102" s="88" t="s">
        <v>688</v>
      </c>
      <c r="I102" s="61">
        <f>SUMIF(PCA!T:T,'Resumo por unidade'!H102,PCA!I:I)</f>
        <v>195412.8</v>
      </c>
      <c r="J102" s="61">
        <v>59906.02</v>
      </c>
      <c r="K102" s="62">
        <f t="shared" si="4"/>
        <v>-135506.78</v>
      </c>
      <c r="L102" s="87"/>
      <c r="M102" s="51"/>
    </row>
    <row r="103" spans="1:13" x14ac:dyDescent="0.25">
      <c r="A103" s="51"/>
      <c r="B103" s="87"/>
      <c r="C103" s="87"/>
      <c r="D103" s="87"/>
      <c r="E103" s="87"/>
      <c r="F103" s="87"/>
      <c r="G103" s="51"/>
      <c r="H103" s="88" t="s">
        <v>417</v>
      </c>
      <c r="I103" s="61">
        <f>SUMIF(PCA!T:T,'Resumo por unidade'!H103,PCA!I:I)</f>
        <v>7291095.7599999998</v>
      </c>
      <c r="J103" s="61">
        <v>59906.02</v>
      </c>
      <c r="K103" s="62">
        <f t="shared" si="4"/>
        <v>-7231189.7400000002</v>
      </c>
      <c r="L103" s="87"/>
      <c r="M103" s="51"/>
    </row>
    <row r="104" spans="1:13" x14ac:dyDescent="0.25">
      <c r="A104" s="51"/>
      <c r="B104" s="87"/>
      <c r="C104" s="87"/>
      <c r="D104" s="87"/>
      <c r="E104" s="87"/>
      <c r="F104" s="87"/>
      <c r="G104" s="51"/>
      <c r="H104" s="88" t="s">
        <v>469</v>
      </c>
      <c r="I104" s="61">
        <f>SUMIF(PCA!T:T,'Resumo por unidade'!H104,PCA!I:I)</f>
        <v>1500000</v>
      </c>
      <c r="J104" s="61">
        <v>59906.02</v>
      </c>
      <c r="K104" s="62">
        <f t="shared" si="4"/>
        <v>-1440093.98</v>
      </c>
      <c r="L104" s="87"/>
      <c r="M104" s="51"/>
    </row>
    <row r="105" spans="1:13" x14ac:dyDescent="0.25">
      <c r="A105" s="51"/>
      <c r="B105" s="87"/>
      <c r="C105" s="87"/>
      <c r="D105" s="87"/>
      <c r="E105" s="87"/>
      <c r="F105" s="87"/>
      <c r="G105" s="51"/>
      <c r="H105" s="88" t="s">
        <v>353</v>
      </c>
      <c r="I105" s="61">
        <f>SUMIF(PCA!T:T,'Resumo por unidade'!H105,PCA!I:I)</f>
        <v>10091526.686799999</v>
      </c>
      <c r="J105" s="61">
        <v>59906.02</v>
      </c>
      <c r="K105" s="62">
        <f t="shared" si="4"/>
        <v>-10031620.6668</v>
      </c>
      <c r="L105" s="87"/>
      <c r="M105" s="51"/>
    </row>
    <row r="106" spans="1:13" x14ac:dyDescent="0.25">
      <c r="A106" s="51"/>
      <c r="B106" s="87"/>
      <c r="C106" s="87"/>
      <c r="D106" s="87"/>
      <c r="E106" s="87"/>
      <c r="F106" s="87"/>
      <c r="G106" s="51"/>
      <c r="H106" s="88" t="s">
        <v>428</v>
      </c>
      <c r="I106" s="61">
        <f>SUMIF(PCA!T:T,'Resumo por unidade'!H106,PCA!I:I)</f>
        <v>181742.79759999999</v>
      </c>
      <c r="J106" s="61">
        <v>59906.02</v>
      </c>
      <c r="K106" s="62">
        <f t="shared" si="4"/>
        <v>-121836.7776</v>
      </c>
      <c r="L106" s="87"/>
      <c r="M106" s="51"/>
    </row>
    <row r="107" spans="1:13" x14ac:dyDescent="0.25">
      <c r="A107" s="51"/>
      <c r="B107" s="87"/>
      <c r="C107" s="87"/>
      <c r="D107" s="87"/>
      <c r="E107" s="87"/>
      <c r="F107" s="87"/>
      <c r="G107" s="51"/>
      <c r="H107" s="88" t="s">
        <v>465</v>
      </c>
      <c r="I107" s="61">
        <f>SUMIF(PCA!T:T,'Resumo por unidade'!H107,PCA!I:I)</f>
        <v>1625000</v>
      </c>
      <c r="J107" s="61">
        <v>59906.02</v>
      </c>
      <c r="K107" s="62">
        <f t="shared" si="4"/>
        <v>-1565093.98</v>
      </c>
      <c r="L107" s="87"/>
      <c r="M107" s="51"/>
    </row>
    <row r="108" spans="1:13" x14ac:dyDescent="0.25">
      <c r="A108" s="51"/>
      <c r="B108" s="87"/>
      <c r="C108" s="87"/>
      <c r="D108" s="87"/>
      <c r="E108" s="87"/>
      <c r="F108" s="87"/>
      <c r="G108" s="51"/>
      <c r="H108" s="88" t="s">
        <v>370</v>
      </c>
      <c r="I108" s="61">
        <f>SUMIF(PCA!T:T,'Resumo por unidade'!H108,PCA!I:I)</f>
        <v>2139585</v>
      </c>
      <c r="J108" s="61">
        <v>59906.02</v>
      </c>
      <c r="K108" s="62">
        <f t="shared" si="4"/>
        <v>-2079678.98</v>
      </c>
      <c r="L108" s="87"/>
      <c r="M108" s="51"/>
    </row>
    <row r="109" spans="1:13" x14ac:dyDescent="0.25">
      <c r="A109" s="51"/>
      <c r="B109" s="87"/>
      <c r="C109" s="87"/>
      <c r="D109" s="87"/>
      <c r="E109" s="87"/>
      <c r="F109" s="87"/>
      <c r="G109" s="51"/>
      <c r="H109" s="88" t="s">
        <v>347</v>
      </c>
      <c r="I109" s="61">
        <f>SUMIF(PCA!T:T,'Resumo por unidade'!H109,PCA!I:I)</f>
        <v>24000000</v>
      </c>
      <c r="J109" s="61">
        <v>59906.02</v>
      </c>
      <c r="K109" s="62">
        <f t="shared" si="4"/>
        <v>-23940093.98</v>
      </c>
      <c r="L109" s="87"/>
      <c r="M109" s="51"/>
    </row>
    <row r="110" spans="1:13" x14ac:dyDescent="0.25">
      <c r="A110" s="51"/>
      <c r="B110" s="87"/>
      <c r="C110" s="87"/>
      <c r="D110" s="87"/>
      <c r="E110" s="87"/>
      <c r="F110" s="87"/>
      <c r="G110" s="51"/>
      <c r="H110" s="88" t="s">
        <v>401</v>
      </c>
      <c r="I110" s="61">
        <f>SUMIF(PCA!T:T,'Resumo por unidade'!H110,PCA!I:I)</f>
        <v>390986.25</v>
      </c>
      <c r="J110" s="61">
        <v>59906.02</v>
      </c>
      <c r="K110" s="62">
        <f t="shared" si="4"/>
        <v>-331080.23</v>
      </c>
      <c r="L110" s="87"/>
      <c r="M110" s="51"/>
    </row>
    <row r="111" spans="1:13" x14ac:dyDescent="0.25">
      <c r="A111" s="51"/>
      <c r="B111" s="87"/>
      <c r="C111" s="87"/>
      <c r="D111" s="87"/>
      <c r="E111" s="87"/>
      <c r="F111" s="87"/>
      <c r="G111" s="51"/>
      <c r="H111" s="88" t="s">
        <v>522</v>
      </c>
      <c r="I111" s="61">
        <f>SUMIF(PCA!T:T,'Resumo por unidade'!H111,PCA!I:I)</f>
        <v>24179</v>
      </c>
      <c r="J111" s="61">
        <v>59906.02</v>
      </c>
      <c r="K111" s="62">
        <f t="shared" si="4"/>
        <v>35727.019999999997</v>
      </c>
      <c r="L111" s="87"/>
      <c r="M111" s="51"/>
    </row>
    <row r="112" spans="1:13" x14ac:dyDescent="0.25">
      <c r="A112" s="51"/>
      <c r="B112" s="87"/>
      <c r="C112" s="87"/>
      <c r="D112" s="87"/>
      <c r="E112" s="87"/>
      <c r="F112" s="87"/>
      <c r="G112" s="51"/>
      <c r="H112" s="88" t="s">
        <v>358</v>
      </c>
      <c r="I112" s="61">
        <f>SUMIF(PCA!T:T,'Resumo por unidade'!H112,PCA!I:I)</f>
        <v>5012166.8142583296</v>
      </c>
      <c r="J112" s="61">
        <v>59906.02</v>
      </c>
      <c r="K112" s="62">
        <f t="shared" si="4"/>
        <v>-4952260.79425833</v>
      </c>
      <c r="L112" s="87"/>
      <c r="M112" s="51"/>
    </row>
    <row r="113" spans="1:13" x14ac:dyDescent="0.25">
      <c r="A113" s="87"/>
      <c r="B113" s="87"/>
      <c r="C113" s="87"/>
      <c r="D113" s="87"/>
      <c r="E113" s="87"/>
      <c r="F113" s="87"/>
      <c r="G113" s="87"/>
      <c r="H113" s="88" t="s">
        <v>525</v>
      </c>
      <c r="I113" s="61">
        <f>SUMIF(PCA!T:T,'Resumo por unidade'!H113,PCA!I:I)</f>
        <v>1318412</v>
      </c>
      <c r="J113" s="61">
        <v>59906.02</v>
      </c>
      <c r="K113" s="62">
        <f t="shared" si="4"/>
        <v>-1258505.98</v>
      </c>
      <c r="L113" s="87"/>
      <c r="M113" s="87"/>
    </row>
    <row r="114" spans="1:13" x14ac:dyDescent="0.25">
      <c r="A114" s="87"/>
      <c r="B114" s="87"/>
      <c r="C114" s="87"/>
      <c r="D114" s="87"/>
      <c r="E114" s="87"/>
      <c r="F114" s="87"/>
      <c r="G114" s="87"/>
      <c r="H114" s="88" t="s">
        <v>494</v>
      </c>
      <c r="I114" s="61">
        <f>SUMIF(PCA!T:T,'Resumo por unidade'!H114,PCA!I:I)</f>
        <v>4441749.4700000007</v>
      </c>
      <c r="J114" s="61">
        <v>59906.02</v>
      </c>
      <c r="K114" s="62">
        <f t="shared" si="4"/>
        <v>-4381843.4500000011</v>
      </c>
      <c r="L114" s="87"/>
      <c r="M114" s="87"/>
    </row>
    <row r="115" spans="1:13" x14ac:dyDescent="0.25">
      <c r="A115" s="87"/>
      <c r="B115" s="87"/>
      <c r="C115" s="87"/>
      <c r="D115" s="87"/>
      <c r="E115" s="87"/>
      <c r="F115" s="87"/>
      <c r="G115" s="87"/>
      <c r="H115" s="88" t="s">
        <v>461</v>
      </c>
      <c r="I115" s="61">
        <f>SUMIF(PCA!T:T,'Resumo por unidade'!H115,PCA!I:I)</f>
        <v>50723.904949999996</v>
      </c>
      <c r="J115" s="61">
        <v>59906.02</v>
      </c>
      <c r="K115" s="62">
        <f t="shared" si="4"/>
        <v>9182.1150500000003</v>
      </c>
      <c r="L115" s="87"/>
      <c r="M115" s="87"/>
    </row>
    <row r="116" spans="1:13" x14ac:dyDescent="0.25">
      <c r="A116" s="87"/>
      <c r="B116" s="87"/>
      <c r="C116" s="87"/>
      <c r="D116" s="87"/>
      <c r="E116" s="87"/>
      <c r="F116" s="87"/>
      <c r="G116" s="87"/>
      <c r="H116" s="88" t="s">
        <v>437</v>
      </c>
      <c r="I116" s="61">
        <f>SUMIF(PCA!T:T,'Resumo por unidade'!H116,PCA!I:I)</f>
        <v>133110</v>
      </c>
      <c r="J116" s="61">
        <v>59906.02</v>
      </c>
      <c r="K116" s="62">
        <f t="shared" si="4"/>
        <v>-73203.98000000001</v>
      </c>
      <c r="L116" s="87"/>
      <c r="M116" s="87"/>
    </row>
    <row r="117" spans="1:13" x14ac:dyDescent="0.25">
      <c r="A117" s="87"/>
      <c r="B117" s="87"/>
      <c r="C117" s="87"/>
      <c r="D117" s="87"/>
      <c r="E117" s="87"/>
      <c r="F117" s="87"/>
      <c r="G117" s="87"/>
      <c r="H117" s="88" t="s">
        <v>379</v>
      </c>
      <c r="I117" s="61">
        <f>SUMIF(PCA!T:T,'Resumo por unidade'!H117,PCA!I:I)</f>
        <v>6738846.9870583331</v>
      </c>
      <c r="J117" s="61">
        <v>59906.02</v>
      </c>
      <c r="K117" s="62">
        <f t="shared" si="4"/>
        <v>-6678940.9670583336</v>
      </c>
      <c r="L117" s="87"/>
      <c r="M117" s="87"/>
    </row>
    <row r="118" spans="1:13" x14ac:dyDescent="0.25">
      <c r="A118" s="87"/>
      <c r="B118" s="87"/>
      <c r="C118" s="87"/>
      <c r="D118" s="87"/>
      <c r="E118" s="87"/>
      <c r="F118" s="87"/>
      <c r="G118" s="87"/>
      <c r="H118" s="88" t="s">
        <v>198</v>
      </c>
      <c r="I118" s="61">
        <f>SUMIF(PCA!T:T,'Resumo por unidade'!H118,PCA!I:I)</f>
        <v>52456.68</v>
      </c>
      <c r="J118" s="61">
        <v>59906.02</v>
      </c>
      <c r="K118" s="62">
        <f t="shared" ref="K118:K134" si="13">J118-I118</f>
        <v>7449.3399999999965</v>
      </c>
      <c r="L118" s="87"/>
      <c r="M118" s="87"/>
    </row>
    <row r="119" spans="1:13" x14ac:dyDescent="0.25">
      <c r="A119" s="87"/>
      <c r="B119" s="87"/>
      <c r="C119" s="87"/>
      <c r="D119" s="87"/>
      <c r="E119" s="87"/>
      <c r="F119" s="87"/>
      <c r="G119" s="87"/>
      <c r="H119" s="88" t="s">
        <v>70</v>
      </c>
      <c r="I119" s="61">
        <f>SUMIF(PCA!T:T,'Resumo por unidade'!H119,PCA!I:I)</f>
        <v>92120.020799999998</v>
      </c>
      <c r="J119" s="61">
        <v>59906.02</v>
      </c>
      <c r="K119" s="62">
        <f t="shared" si="13"/>
        <v>-32214.000800000002</v>
      </c>
      <c r="L119" s="87"/>
      <c r="M119" s="87"/>
    </row>
    <row r="120" spans="1:13" x14ac:dyDescent="0.25">
      <c r="A120" s="87"/>
      <c r="B120" s="87"/>
      <c r="C120" s="87"/>
      <c r="D120" s="87"/>
      <c r="E120" s="87"/>
      <c r="F120" s="87"/>
      <c r="G120" s="87"/>
      <c r="H120" s="88" t="s">
        <v>517</v>
      </c>
      <c r="I120" s="61">
        <f>SUMIF(PCA!T:T,'Resumo por unidade'!H120,PCA!I:I)</f>
        <v>209750</v>
      </c>
      <c r="J120" s="61">
        <v>59906.02</v>
      </c>
      <c r="K120" s="62">
        <f t="shared" si="13"/>
        <v>-149843.98000000001</v>
      </c>
      <c r="L120" s="87"/>
      <c r="M120" s="87"/>
    </row>
    <row r="121" spans="1:13" x14ac:dyDescent="0.25">
      <c r="A121" s="87"/>
      <c r="B121" s="87"/>
      <c r="C121" s="87"/>
      <c r="D121" s="87"/>
      <c r="E121" s="87"/>
      <c r="F121" s="87"/>
      <c r="G121" s="87"/>
      <c r="H121" s="88" t="s">
        <v>660</v>
      </c>
      <c r="I121" s="61">
        <f>SUMIF(PCA!T:T,'Resumo por unidade'!H121,PCA!I:I)</f>
        <v>12000</v>
      </c>
      <c r="J121" s="61">
        <v>59906.02</v>
      </c>
      <c r="K121" s="62">
        <f t="shared" si="13"/>
        <v>47906.02</v>
      </c>
      <c r="L121" s="87"/>
      <c r="M121" s="87"/>
    </row>
    <row r="122" spans="1:13" x14ac:dyDescent="0.25">
      <c r="A122" s="87"/>
      <c r="B122" s="87"/>
      <c r="C122" s="87"/>
      <c r="D122" s="87"/>
      <c r="E122" s="87"/>
      <c r="F122" s="87"/>
      <c r="G122" s="87"/>
      <c r="H122" s="88" t="s">
        <v>341</v>
      </c>
      <c r="I122" s="61">
        <f>SUMIF(PCA!T:T,'Resumo por unidade'!H122,PCA!I:I)</f>
        <v>13875895.32</v>
      </c>
      <c r="J122" s="61">
        <v>59906.02</v>
      </c>
      <c r="K122" s="62">
        <f t="shared" si="13"/>
        <v>-13815989.300000001</v>
      </c>
      <c r="L122" s="87"/>
      <c r="M122" s="87"/>
    </row>
    <row r="123" spans="1:13" x14ac:dyDescent="0.25">
      <c r="A123" s="87"/>
      <c r="B123" s="87"/>
      <c r="C123" s="87"/>
      <c r="D123" s="87"/>
      <c r="E123" s="87"/>
      <c r="F123" s="87"/>
      <c r="G123" s="87"/>
      <c r="H123" s="88" t="s">
        <v>157</v>
      </c>
      <c r="I123" s="61">
        <f>SUMIF(PCA!T:T,'Resumo por unidade'!H123,PCA!I:I)</f>
        <v>13208</v>
      </c>
      <c r="J123" s="61">
        <v>59906.02</v>
      </c>
      <c r="K123" s="62">
        <f t="shared" ref="K123" si="14">J123-I123</f>
        <v>46698.02</v>
      </c>
      <c r="L123" s="87"/>
      <c r="M123" s="87"/>
    </row>
    <row r="124" spans="1:13" x14ac:dyDescent="0.25">
      <c r="A124" s="87"/>
      <c r="B124" s="87"/>
      <c r="C124" s="87"/>
      <c r="D124" s="87"/>
      <c r="E124" s="87"/>
      <c r="F124" s="87"/>
      <c r="G124" s="87"/>
      <c r="H124" s="88" t="s">
        <v>75</v>
      </c>
      <c r="I124" s="61">
        <f>SUMIF(PCA!T:T,'Resumo por unidade'!H124,PCA!I:I)</f>
        <v>7403.04</v>
      </c>
      <c r="J124" s="61">
        <v>59906.02</v>
      </c>
      <c r="K124" s="62">
        <f>J124-I124</f>
        <v>52502.979999999996</v>
      </c>
      <c r="L124" s="87"/>
      <c r="M124" s="87"/>
    </row>
    <row r="125" spans="1:13" x14ac:dyDescent="0.25">
      <c r="A125" s="87"/>
      <c r="B125" s="87"/>
      <c r="C125" s="87"/>
      <c r="D125" s="87"/>
      <c r="E125" s="87"/>
      <c r="F125" s="87"/>
      <c r="G125" s="87"/>
      <c r="H125" s="88" t="s">
        <v>820</v>
      </c>
      <c r="I125" s="61">
        <f>SUMIF(PCA!T:T,'Resumo por unidade'!H125,PCA!I:I)</f>
        <v>0</v>
      </c>
      <c r="J125" s="61">
        <v>59906.02</v>
      </c>
      <c r="K125" s="62">
        <f t="shared" si="13"/>
        <v>59906.02</v>
      </c>
      <c r="L125" s="87"/>
      <c r="M125" s="87"/>
    </row>
    <row r="126" spans="1:13" x14ac:dyDescent="0.25">
      <c r="A126" s="87"/>
      <c r="B126" s="87"/>
      <c r="C126" s="87"/>
      <c r="D126" s="87"/>
      <c r="E126" s="87"/>
      <c r="F126" s="87"/>
      <c r="G126" s="87"/>
      <c r="H126" s="88" t="s">
        <v>249</v>
      </c>
      <c r="I126" s="61">
        <f>SUMIF(PCA!T:T,'Resumo por unidade'!H126,PCA!I:I)</f>
        <v>42235.61</v>
      </c>
      <c r="J126" s="61">
        <v>59906.02</v>
      </c>
      <c r="K126" s="62">
        <f t="shared" si="13"/>
        <v>17670.409999999996</v>
      </c>
      <c r="L126" s="87"/>
      <c r="M126" s="87"/>
    </row>
    <row r="127" spans="1:13" x14ac:dyDescent="0.25">
      <c r="A127" s="87"/>
      <c r="B127" s="87"/>
      <c r="C127" s="87"/>
      <c r="D127" s="87"/>
      <c r="E127" s="87"/>
      <c r="F127" s="87"/>
      <c r="G127" s="87"/>
      <c r="H127" s="89" t="s">
        <v>308</v>
      </c>
      <c r="I127" s="61">
        <f>SUMIF(PCA!T:T,'Resumo por unidade'!H127,PCA!I:I)</f>
        <v>18035.62</v>
      </c>
      <c r="J127" s="61">
        <v>59906.02</v>
      </c>
      <c r="K127" s="62">
        <f t="shared" si="13"/>
        <v>41870.399999999994</v>
      </c>
      <c r="L127" s="87"/>
      <c r="M127" s="87"/>
    </row>
    <row r="128" spans="1:13" x14ac:dyDescent="0.25">
      <c r="A128" s="87"/>
      <c r="B128" s="87"/>
      <c r="C128" s="87"/>
      <c r="D128" s="87"/>
      <c r="E128" s="87"/>
      <c r="F128" s="87"/>
      <c r="G128" s="87"/>
      <c r="H128" s="89" t="s">
        <v>53</v>
      </c>
      <c r="I128" s="96">
        <f>SUMIF(PCA!T:T,'Resumo por unidade'!H128,PCA!I:I)</f>
        <v>2564830.5099999998</v>
      </c>
      <c r="J128" s="61">
        <v>59906.02</v>
      </c>
      <c r="K128" s="62">
        <f>J128-I128</f>
        <v>-2504924.4899999998</v>
      </c>
      <c r="L128" s="87"/>
      <c r="M128" s="87"/>
    </row>
    <row r="129" spans="1:13" x14ac:dyDescent="0.25">
      <c r="A129" s="87"/>
      <c r="B129" s="87"/>
      <c r="C129" s="87"/>
      <c r="D129" s="87"/>
      <c r="E129" s="87"/>
      <c r="F129" s="87"/>
      <c r="G129" s="87"/>
      <c r="H129" s="88" t="s">
        <v>35</v>
      </c>
      <c r="I129" s="90">
        <f>SUMIF(PCA!T:T,'Resumo por unidade'!H129,PCA!I:I)</f>
        <v>90000</v>
      </c>
      <c r="J129" s="61">
        <v>59906.02</v>
      </c>
      <c r="K129" s="62">
        <f t="shared" si="13"/>
        <v>-30093.980000000003</v>
      </c>
      <c r="L129" s="87"/>
      <c r="M129" s="87"/>
    </row>
    <row r="130" spans="1:13" x14ac:dyDescent="0.25">
      <c r="A130" s="87"/>
      <c r="B130" s="87"/>
      <c r="C130" s="87"/>
      <c r="D130" s="87"/>
      <c r="E130" s="87"/>
      <c r="F130" s="87"/>
      <c r="G130" s="87"/>
      <c r="H130" s="88" t="s">
        <v>204</v>
      </c>
      <c r="I130" s="61">
        <f>SUMIF(PCA!T:T,'Resumo por unidade'!H130,PCA!I:I)</f>
        <v>12355043</v>
      </c>
      <c r="J130" s="61">
        <v>59906.02</v>
      </c>
      <c r="K130" s="62">
        <f t="shared" si="13"/>
        <v>-12295136.98</v>
      </c>
      <c r="L130" s="87"/>
      <c r="M130" s="87"/>
    </row>
    <row r="131" spans="1:13" x14ac:dyDescent="0.25">
      <c r="A131" s="87"/>
      <c r="B131" s="87"/>
      <c r="C131" s="87"/>
      <c r="D131" s="87"/>
      <c r="E131" s="87"/>
      <c r="F131" s="87"/>
      <c r="G131" s="87"/>
      <c r="H131" s="88" t="s">
        <v>145</v>
      </c>
      <c r="I131" s="61">
        <f>SUMIF(PCA!T:T,'Resumo por unidade'!H131,PCA!I:I)</f>
        <v>26682089.013999999</v>
      </c>
      <c r="J131" s="61">
        <v>59906.02</v>
      </c>
      <c r="K131" s="62">
        <f t="shared" si="13"/>
        <v>-26622182.993999999</v>
      </c>
      <c r="L131" s="87"/>
      <c r="M131" s="87"/>
    </row>
    <row r="132" spans="1:13" x14ac:dyDescent="0.25">
      <c r="A132" s="87"/>
      <c r="B132" s="87"/>
      <c r="C132" s="87"/>
      <c r="D132" s="87"/>
      <c r="E132" s="87"/>
      <c r="F132" s="87"/>
      <c r="G132" s="87"/>
      <c r="H132" s="88" t="s">
        <v>247</v>
      </c>
      <c r="I132" s="61">
        <f>SUMIF(PCA!T:T,'Resumo por unidade'!H132,PCA!I:I)</f>
        <v>38748.269999999997</v>
      </c>
      <c r="J132" s="61">
        <v>59906.02</v>
      </c>
      <c r="K132" s="62">
        <f t="shared" si="13"/>
        <v>21157.75</v>
      </c>
      <c r="L132" s="87"/>
      <c r="M132" s="87"/>
    </row>
    <row r="133" spans="1:13" x14ac:dyDescent="0.25">
      <c r="A133" s="87"/>
      <c r="B133" s="87"/>
      <c r="C133" s="87"/>
      <c r="D133" s="87"/>
      <c r="E133" s="87"/>
      <c r="F133" s="87"/>
      <c r="G133" s="87"/>
      <c r="H133" s="88" t="s">
        <v>853</v>
      </c>
      <c r="I133" s="61">
        <f>SUMIF(PCA!T:T,'Resumo por unidade'!H133,PCA!I:I)</f>
        <v>17556.86</v>
      </c>
      <c r="J133" s="61">
        <v>59906.02</v>
      </c>
      <c r="K133" s="62">
        <f t="shared" ref="K133" si="15">J133-I133</f>
        <v>42349.159999999996</v>
      </c>
      <c r="L133" s="87"/>
      <c r="M133" s="87"/>
    </row>
    <row r="134" spans="1:13" x14ac:dyDescent="0.25">
      <c r="A134" s="87"/>
      <c r="B134" s="87"/>
      <c r="C134" s="87"/>
      <c r="D134" s="87"/>
      <c r="E134" s="87"/>
      <c r="F134" s="87"/>
      <c r="G134" s="87"/>
      <c r="H134" s="88" t="s">
        <v>44</v>
      </c>
      <c r="I134" s="61">
        <f>SUMIF(PCA!T:T,'Resumo por unidade'!H134,PCA!I:I)</f>
        <v>134211.15599999999</v>
      </c>
      <c r="J134" s="61">
        <v>59906.02</v>
      </c>
      <c r="K134" s="62">
        <f t="shared" si="13"/>
        <v>-74305.135999999999</v>
      </c>
      <c r="L134" s="87"/>
      <c r="M134" s="87"/>
    </row>
    <row r="135" spans="1:13" x14ac:dyDescent="0.25">
      <c r="A135" s="87"/>
      <c r="B135" s="87"/>
      <c r="C135" s="87"/>
      <c r="D135" s="87"/>
      <c r="E135" s="87"/>
      <c r="F135" s="87"/>
      <c r="G135" s="87"/>
      <c r="H135" s="88" t="s">
        <v>613</v>
      </c>
      <c r="I135" s="61">
        <f>SUMIF(PCA!T:T,'Resumo por unidade'!H135,PCA!I:I)</f>
        <v>262093</v>
      </c>
      <c r="J135" s="61">
        <v>59906.02</v>
      </c>
      <c r="K135" s="62">
        <f>J135-I135</f>
        <v>-202186.98</v>
      </c>
      <c r="L135" s="87"/>
      <c r="M135" s="87"/>
    </row>
    <row r="136" spans="1:13" x14ac:dyDescent="0.25">
      <c r="A136" s="87"/>
      <c r="B136" s="87"/>
      <c r="C136" s="87"/>
      <c r="D136" s="87"/>
      <c r="E136" s="87"/>
      <c r="F136" s="87"/>
      <c r="G136" s="87"/>
      <c r="H136" s="88" t="s">
        <v>207</v>
      </c>
      <c r="I136" s="61">
        <f>SUMIF(PCA!T:T,'Resumo por unidade'!H136,PCA!I:I)</f>
        <v>12950.53</v>
      </c>
      <c r="J136" s="61">
        <v>59906.02</v>
      </c>
      <c r="K136" s="62">
        <f>J136-I136</f>
        <v>46955.49</v>
      </c>
      <c r="L136" s="87"/>
      <c r="M136" s="87"/>
    </row>
    <row r="137" spans="1:13" x14ac:dyDescent="0.25">
      <c r="A137" s="87"/>
      <c r="B137" s="87"/>
      <c r="C137" s="87"/>
      <c r="D137" s="87"/>
      <c r="E137" s="87"/>
      <c r="F137" s="87"/>
      <c r="G137" s="87"/>
      <c r="H137" s="88" t="s">
        <v>841</v>
      </c>
      <c r="I137" s="61">
        <f>SUMIF(PCA!T:T,'Resumo por unidade'!H137,PCA!I:I)</f>
        <v>143205.57999999999</v>
      </c>
      <c r="J137" s="61">
        <v>59906.02</v>
      </c>
      <c r="K137" s="62">
        <f>J137-I137</f>
        <v>-83299.56</v>
      </c>
      <c r="L137" s="87"/>
      <c r="M137" s="87"/>
    </row>
    <row r="138" spans="1:13" x14ac:dyDescent="0.25">
      <c r="A138" s="87"/>
      <c r="B138" s="87"/>
      <c r="C138" s="87"/>
      <c r="D138" s="87"/>
      <c r="E138" s="87"/>
      <c r="F138" s="87"/>
      <c r="G138" s="87"/>
      <c r="H138" s="88" t="s">
        <v>839</v>
      </c>
      <c r="I138" s="61">
        <f>SUMIF(PCA!T:T,'Resumo por unidade'!H138,PCA!I:I)</f>
        <v>644059.91999999993</v>
      </c>
      <c r="J138" s="61">
        <v>59906.02</v>
      </c>
      <c r="K138" s="62">
        <f>J138-I138</f>
        <v>-584153.89999999991</v>
      </c>
      <c r="L138" s="87"/>
      <c r="M138" s="87"/>
    </row>
    <row r="139" spans="1:13" x14ac:dyDescent="0.25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</row>
    <row r="140" spans="1:13" x14ac:dyDescent="0.25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</row>
    <row r="141" spans="1:13" x14ac:dyDescent="0.25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</row>
    <row r="142" spans="1:13" x14ac:dyDescent="0.25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</row>
    <row r="143" spans="1:13" x14ac:dyDescent="0.25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</row>
    <row r="144" spans="1:13" x14ac:dyDescent="0.25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</row>
    <row r="145" spans="1:13" x14ac:dyDescent="0.25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</row>
    <row r="146" spans="1:13" x14ac:dyDescent="0.25">
      <c r="A146" s="87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</row>
    <row r="147" spans="1:13" x14ac:dyDescent="0.25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</row>
    <row r="148" spans="1:13" x14ac:dyDescent="0.25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</row>
    <row r="149" spans="1:13" x14ac:dyDescent="0.25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</row>
    <row r="150" spans="1:13" x14ac:dyDescent="0.25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</row>
    <row r="151" spans="1:13" x14ac:dyDescent="0.25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</row>
    <row r="152" spans="1:13" x14ac:dyDescent="0.25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</row>
    <row r="153" spans="1:13" x14ac:dyDescent="0.25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</row>
    <row r="154" spans="1:13" x14ac:dyDescent="0.25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</row>
    <row r="155" spans="1:13" x14ac:dyDescent="0.25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</row>
    <row r="156" spans="1:13" x14ac:dyDescent="0.25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</row>
    <row r="157" spans="1:13" x14ac:dyDescent="0.25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</row>
    <row r="158" spans="1:13" x14ac:dyDescent="0.25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</row>
    <row r="159" spans="1:13" x14ac:dyDescent="0.25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</row>
    <row r="160" spans="1:13" x14ac:dyDescent="0.25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</row>
    <row r="161" spans="1:13" x14ac:dyDescent="0.25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</row>
    <row r="162" spans="1:13" x14ac:dyDescent="0.25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</row>
    <row r="163" spans="1:13" x14ac:dyDescent="0.25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</row>
    <row r="164" spans="1:13" x14ac:dyDescent="0.25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</row>
    <row r="165" spans="1:13" x14ac:dyDescent="0.25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</row>
    <row r="166" spans="1:13" x14ac:dyDescent="0.25">
      <c r="A166" s="87"/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</row>
    <row r="167" spans="1:13" x14ac:dyDescent="0.25">
      <c r="A167" s="87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</row>
    <row r="168" spans="1:13" x14ac:dyDescent="0.25">
      <c r="A168" s="87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</row>
    <row r="169" spans="1:13" x14ac:dyDescent="0.25">
      <c r="A169" s="87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</row>
    <row r="170" spans="1:13" x14ac:dyDescent="0.25">
      <c r="A170" s="87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</row>
    <row r="171" spans="1:13" x14ac:dyDescent="0.25">
      <c r="A171" s="87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</row>
    <row r="172" spans="1:13" x14ac:dyDescent="0.25">
      <c r="A172" s="87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</row>
    <row r="173" spans="1:13" x14ac:dyDescent="0.25">
      <c r="A173" s="87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</row>
    <row r="174" spans="1:13" x14ac:dyDescent="0.25">
      <c r="A174" s="87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</row>
    <row r="175" spans="1:13" x14ac:dyDescent="0.25">
      <c r="A175" s="87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</row>
    <row r="176" spans="1:13" x14ac:dyDescent="0.25">
      <c r="A176" s="87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</row>
    <row r="177" spans="1:13" x14ac:dyDescent="0.25">
      <c r="A177" s="87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</row>
    <row r="178" spans="1:13" x14ac:dyDescent="0.25">
      <c r="A178" s="87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</row>
    <row r="179" spans="1:13" x14ac:dyDescent="0.25">
      <c r="A179" s="87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</row>
    <row r="180" spans="1:13" x14ac:dyDescent="0.25">
      <c r="A180" s="87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</row>
    <row r="181" spans="1:13" x14ac:dyDescent="0.25">
      <c r="A181" s="87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</row>
    <row r="182" spans="1:13" x14ac:dyDescent="0.25">
      <c r="A182" s="87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</row>
    <row r="183" spans="1:13" x14ac:dyDescent="0.25">
      <c r="A183" s="87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</row>
    <row r="184" spans="1:13" x14ac:dyDescent="0.25">
      <c r="A184" s="87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</row>
    <row r="185" spans="1:13" x14ac:dyDescent="0.25">
      <c r="A185" s="87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</row>
    <row r="186" spans="1:13" x14ac:dyDescent="0.25">
      <c r="A186" s="87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</row>
    <row r="187" spans="1:13" x14ac:dyDescent="0.25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</row>
    <row r="188" spans="1:13" x14ac:dyDescent="0.25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</row>
    <row r="189" spans="1:13" x14ac:dyDescent="0.25">
      <c r="A189" s="87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</row>
    <row r="190" spans="1:13" x14ac:dyDescent="0.25">
      <c r="A190" s="87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</row>
    <row r="191" spans="1:13" x14ac:dyDescent="0.25">
      <c r="A191" s="87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</row>
    <row r="192" spans="1:13" x14ac:dyDescent="0.25">
      <c r="A192" s="87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</row>
    <row r="193" spans="1:13" x14ac:dyDescent="0.25">
      <c r="A193" s="87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</row>
    <row r="194" spans="1:13" x14ac:dyDescent="0.25">
      <c r="A194" s="87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</row>
    <row r="195" spans="1:13" x14ac:dyDescent="0.25">
      <c r="A195" s="87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</row>
    <row r="196" spans="1:13" x14ac:dyDescent="0.25">
      <c r="A196" s="87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</row>
    <row r="197" spans="1:13" x14ac:dyDescent="0.25">
      <c r="A197" s="87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</row>
    <row r="198" spans="1:13" x14ac:dyDescent="0.25">
      <c r="A198" s="87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</row>
    <row r="199" spans="1:13" x14ac:dyDescent="0.25">
      <c r="A199" s="87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</row>
    <row r="200" spans="1:13" x14ac:dyDescent="0.25">
      <c r="A200" s="87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</row>
    <row r="201" spans="1:13" x14ac:dyDescent="0.25">
      <c r="A201" s="87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</row>
    <row r="202" spans="1:13" x14ac:dyDescent="0.25">
      <c r="A202" s="87"/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</row>
    <row r="203" spans="1:13" x14ac:dyDescent="0.25">
      <c r="A203" s="87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</row>
    <row r="204" spans="1:13" x14ac:dyDescent="0.25">
      <c r="A204" s="87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</row>
    <row r="205" spans="1:13" x14ac:dyDescent="0.25">
      <c r="A205" s="87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</row>
    <row r="206" spans="1:13" x14ac:dyDescent="0.25">
      <c r="A206" s="87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</row>
    <row r="207" spans="1:13" x14ac:dyDescent="0.25">
      <c r="A207" s="87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</row>
    <row r="208" spans="1:13" x14ac:dyDescent="0.25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</row>
    <row r="209" spans="1:13" x14ac:dyDescent="0.25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</row>
    <row r="210" spans="1:13" x14ac:dyDescent="0.25">
      <c r="A210" s="87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</row>
    <row r="211" spans="1:13" x14ac:dyDescent="0.25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</row>
    <row r="212" spans="1:13" x14ac:dyDescent="0.25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</row>
    <row r="213" spans="1:13" x14ac:dyDescent="0.25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</row>
    <row r="214" spans="1:13" x14ac:dyDescent="0.25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</row>
    <row r="215" spans="1:13" x14ac:dyDescent="0.25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</row>
    <row r="216" spans="1:13" x14ac:dyDescent="0.25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</row>
    <row r="217" spans="1:13" x14ac:dyDescent="0.25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</row>
    <row r="218" spans="1:13" x14ac:dyDescent="0.25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</row>
    <row r="219" spans="1:13" x14ac:dyDescent="0.25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</row>
    <row r="220" spans="1:13" x14ac:dyDescent="0.25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</row>
    <row r="221" spans="1:13" x14ac:dyDescent="0.25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</row>
    <row r="222" spans="1:13" x14ac:dyDescent="0.25">
      <c r="A222" s="87"/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</row>
    <row r="223" spans="1:13" x14ac:dyDescent="0.25">
      <c r="A223" s="87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</row>
    <row r="224" spans="1:13" x14ac:dyDescent="0.25">
      <c r="A224" s="87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</row>
    <row r="225" spans="1:13" x14ac:dyDescent="0.25">
      <c r="A225" s="87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</row>
    <row r="226" spans="1:13" x14ac:dyDescent="0.25">
      <c r="A226" s="87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</row>
    <row r="227" spans="1:13" x14ac:dyDescent="0.25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</row>
    <row r="228" spans="1:13" x14ac:dyDescent="0.25">
      <c r="A228" s="87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</row>
    <row r="229" spans="1:13" x14ac:dyDescent="0.25">
      <c r="A229" s="87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</row>
    <row r="230" spans="1:13" x14ac:dyDescent="0.25">
      <c r="A230" s="87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</row>
    <row r="231" spans="1:13" x14ac:dyDescent="0.25">
      <c r="A231" s="87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</row>
    <row r="232" spans="1:13" x14ac:dyDescent="0.25">
      <c r="A232" s="87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</row>
    <row r="233" spans="1:13" x14ac:dyDescent="0.25">
      <c r="A233" s="87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</row>
    <row r="234" spans="1:13" x14ac:dyDescent="0.25">
      <c r="A234" s="87"/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</row>
    <row r="235" spans="1:13" x14ac:dyDescent="0.25">
      <c r="A235" s="87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</row>
    <row r="236" spans="1:13" x14ac:dyDescent="0.25">
      <c r="A236" s="87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</row>
    <row r="237" spans="1:13" x14ac:dyDescent="0.25">
      <c r="A237" s="87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</row>
    <row r="238" spans="1:13" x14ac:dyDescent="0.25">
      <c r="A238" s="87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</row>
    <row r="239" spans="1:13" x14ac:dyDescent="0.25">
      <c r="A239" s="87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</row>
    <row r="240" spans="1:13" x14ac:dyDescent="0.25">
      <c r="A240" s="87"/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</row>
    <row r="241" spans="1:13" x14ac:dyDescent="0.25">
      <c r="A241" s="87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</row>
    <row r="242" spans="1:13" x14ac:dyDescent="0.25">
      <c r="A242" s="87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</row>
    <row r="243" spans="1:13" x14ac:dyDescent="0.25">
      <c r="A243" s="87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</row>
    <row r="244" spans="1:13" x14ac:dyDescent="0.25">
      <c r="A244" s="87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</row>
    <row r="245" spans="1:13" x14ac:dyDescent="0.25">
      <c r="A245" s="87"/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</row>
    <row r="246" spans="1:13" x14ac:dyDescent="0.25">
      <c r="A246" s="87"/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</row>
    <row r="247" spans="1:13" x14ac:dyDescent="0.25">
      <c r="A247" s="87"/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</row>
    <row r="248" spans="1:13" x14ac:dyDescent="0.25">
      <c r="A248" s="87"/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</row>
    <row r="249" spans="1:13" x14ac:dyDescent="0.25">
      <c r="A249" s="87"/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</row>
    <row r="250" spans="1:13" x14ac:dyDescent="0.25">
      <c r="A250" s="87"/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</row>
    <row r="251" spans="1:13" x14ac:dyDescent="0.25">
      <c r="A251" s="87"/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</row>
    <row r="252" spans="1:13" x14ac:dyDescent="0.25">
      <c r="A252" s="87"/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</row>
    <row r="253" spans="1:13" x14ac:dyDescent="0.25">
      <c r="A253" s="87"/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</row>
    <row r="254" spans="1:13" x14ac:dyDescent="0.25">
      <c r="A254" s="87"/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</row>
    <row r="255" spans="1:13" x14ac:dyDescent="0.25">
      <c r="A255" s="87"/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</row>
    <row r="256" spans="1:13" x14ac:dyDescent="0.25">
      <c r="A256" s="87"/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</row>
    <row r="257" spans="1:13" x14ac:dyDescent="0.25">
      <c r="A257" s="87"/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</row>
    <row r="258" spans="1:13" x14ac:dyDescent="0.25">
      <c r="A258" s="87"/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</row>
    <row r="259" spans="1:13" x14ac:dyDescent="0.25">
      <c r="A259" s="87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</row>
    <row r="260" spans="1:13" x14ac:dyDescent="0.25">
      <c r="A260" s="87"/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</row>
    <row r="261" spans="1:13" x14ac:dyDescent="0.25">
      <c r="A261" s="87"/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</row>
    <row r="262" spans="1:13" x14ac:dyDescent="0.25">
      <c r="A262" s="87"/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</row>
    <row r="263" spans="1:13" x14ac:dyDescent="0.25">
      <c r="A263" s="87"/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</row>
    <row r="264" spans="1:13" x14ac:dyDescent="0.25">
      <c r="A264" s="87"/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</row>
    <row r="265" spans="1:13" x14ac:dyDescent="0.25">
      <c r="A265" s="87"/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</row>
    <row r="266" spans="1:13" x14ac:dyDescent="0.25">
      <c r="A266" s="87"/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</row>
    <row r="267" spans="1:13" x14ac:dyDescent="0.25">
      <c r="A267" s="87"/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</row>
    <row r="268" spans="1:13" x14ac:dyDescent="0.25">
      <c r="A268" s="87"/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</row>
    <row r="269" spans="1:13" x14ac:dyDescent="0.25">
      <c r="A269" s="87"/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</row>
    <row r="270" spans="1:13" x14ac:dyDescent="0.25">
      <c r="A270" s="87"/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</row>
    <row r="271" spans="1:13" x14ac:dyDescent="0.25">
      <c r="A271" s="87"/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</row>
    <row r="272" spans="1:13" x14ac:dyDescent="0.25">
      <c r="A272" s="87"/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</row>
    <row r="273" spans="1:13" x14ac:dyDescent="0.25">
      <c r="A273" s="87"/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</row>
    <row r="274" spans="1:13" x14ac:dyDescent="0.25">
      <c r="A274" s="87"/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</row>
    <row r="275" spans="1:13" x14ac:dyDescent="0.25">
      <c r="A275" s="87"/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</row>
    <row r="276" spans="1:13" x14ac:dyDescent="0.25">
      <c r="A276" s="87"/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</row>
    <row r="277" spans="1:13" x14ac:dyDescent="0.25">
      <c r="A277" s="87"/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</row>
    <row r="278" spans="1:13" x14ac:dyDescent="0.25">
      <c r="A278" s="87"/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</row>
    <row r="279" spans="1:13" x14ac:dyDescent="0.25">
      <c r="A279" s="87"/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</row>
    <row r="280" spans="1:13" x14ac:dyDescent="0.25">
      <c r="A280" s="87"/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</row>
    <row r="281" spans="1:13" x14ac:dyDescent="0.25">
      <c r="A281" s="87"/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</row>
    <row r="282" spans="1:13" x14ac:dyDescent="0.25">
      <c r="A282" s="87"/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</row>
    <row r="283" spans="1:13" x14ac:dyDescent="0.25">
      <c r="A283" s="87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</row>
    <row r="284" spans="1:13" x14ac:dyDescent="0.25">
      <c r="A284" s="87"/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</row>
    <row r="285" spans="1:13" x14ac:dyDescent="0.25">
      <c r="A285" s="87"/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</row>
    <row r="286" spans="1:13" x14ac:dyDescent="0.25">
      <c r="A286" s="87"/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</row>
    <row r="287" spans="1:13" x14ac:dyDescent="0.25">
      <c r="A287" s="87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</row>
    <row r="288" spans="1:13" x14ac:dyDescent="0.25">
      <c r="A288" s="87"/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</row>
    <row r="289" spans="1:13" x14ac:dyDescent="0.25">
      <c r="A289" s="87"/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</row>
    <row r="290" spans="1:13" x14ac:dyDescent="0.25">
      <c r="A290" s="87"/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</row>
    <row r="291" spans="1:13" x14ac:dyDescent="0.25">
      <c r="A291" s="87"/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</row>
    <row r="292" spans="1:13" x14ac:dyDescent="0.25">
      <c r="A292" s="87"/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</row>
    <row r="293" spans="1:13" x14ac:dyDescent="0.25">
      <c r="A293" s="87"/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</row>
    <row r="294" spans="1:13" x14ac:dyDescent="0.25">
      <c r="A294" s="87"/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</row>
    <row r="295" spans="1:13" x14ac:dyDescent="0.25">
      <c r="A295" s="87"/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</row>
    <row r="296" spans="1:13" x14ac:dyDescent="0.25">
      <c r="A296" s="87"/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</row>
    <row r="297" spans="1:13" x14ac:dyDescent="0.25">
      <c r="A297" s="87"/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</row>
    <row r="298" spans="1:13" x14ac:dyDescent="0.25">
      <c r="A298" s="87"/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</row>
    <row r="299" spans="1:13" x14ac:dyDescent="0.25">
      <c r="A299" s="87"/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</row>
    <row r="300" spans="1:13" x14ac:dyDescent="0.25">
      <c r="A300" s="87"/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</row>
    <row r="301" spans="1:13" x14ac:dyDescent="0.25">
      <c r="A301" s="87"/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</row>
    <row r="302" spans="1:13" x14ac:dyDescent="0.25">
      <c r="A302" s="87"/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</row>
    <row r="303" spans="1:13" x14ac:dyDescent="0.25">
      <c r="A303" s="87"/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</row>
    <row r="304" spans="1:13" x14ac:dyDescent="0.25">
      <c r="A304" s="87"/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</row>
    <row r="305" spans="1:13" x14ac:dyDescent="0.25">
      <c r="A305" s="87"/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</row>
    <row r="306" spans="1:13" x14ac:dyDescent="0.25">
      <c r="A306" s="87"/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</row>
    <row r="307" spans="1:13" x14ac:dyDescent="0.25">
      <c r="A307" s="87"/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</row>
    <row r="308" spans="1:13" x14ac:dyDescent="0.25">
      <c r="A308" s="87"/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</row>
    <row r="309" spans="1:13" x14ac:dyDescent="0.25">
      <c r="A309" s="87"/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</row>
    <row r="310" spans="1:13" x14ac:dyDescent="0.25">
      <c r="A310" s="87"/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</row>
    <row r="311" spans="1:13" x14ac:dyDescent="0.25">
      <c r="A311" s="87"/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</row>
    <row r="312" spans="1:13" x14ac:dyDescent="0.25">
      <c r="A312" s="87"/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</row>
    <row r="313" spans="1:13" x14ac:dyDescent="0.25">
      <c r="A313" s="87"/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</row>
    <row r="314" spans="1:13" x14ac:dyDescent="0.25">
      <c r="A314" s="87"/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</row>
    <row r="315" spans="1:13" x14ac:dyDescent="0.25">
      <c r="A315" s="87"/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</row>
    <row r="316" spans="1:13" x14ac:dyDescent="0.25">
      <c r="A316" s="87"/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</row>
    <row r="317" spans="1:13" x14ac:dyDescent="0.25">
      <c r="A317" s="87"/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</row>
    <row r="318" spans="1:13" x14ac:dyDescent="0.25">
      <c r="A318" s="87"/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</row>
    <row r="319" spans="1:13" x14ac:dyDescent="0.25">
      <c r="A319" s="87"/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</row>
    <row r="320" spans="1:13" x14ac:dyDescent="0.25">
      <c r="A320" s="87"/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</row>
    <row r="321" spans="1:13" x14ac:dyDescent="0.25">
      <c r="A321" s="87"/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</row>
    <row r="322" spans="1:13" x14ac:dyDescent="0.25">
      <c r="A322" s="87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</row>
    <row r="323" spans="1:13" x14ac:dyDescent="0.25">
      <c r="A323" s="87"/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</row>
    <row r="324" spans="1:13" x14ac:dyDescent="0.25">
      <c r="A324" s="87"/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</row>
    <row r="325" spans="1:13" x14ac:dyDescent="0.25">
      <c r="A325" s="87"/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</row>
    <row r="326" spans="1:13" x14ac:dyDescent="0.25">
      <c r="A326" s="87"/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</row>
    <row r="327" spans="1:13" x14ac:dyDescent="0.25">
      <c r="A327" s="87"/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</row>
    <row r="328" spans="1:13" x14ac:dyDescent="0.25">
      <c r="A328" s="87"/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</row>
    <row r="329" spans="1:13" x14ac:dyDescent="0.25">
      <c r="A329" s="87"/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</row>
    <row r="330" spans="1:13" x14ac:dyDescent="0.25">
      <c r="A330" s="87"/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</row>
    <row r="331" spans="1:13" x14ac:dyDescent="0.25">
      <c r="A331" s="87"/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</row>
    <row r="332" spans="1:13" x14ac:dyDescent="0.25">
      <c r="A332" s="87"/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</row>
    <row r="333" spans="1:13" x14ac:dyDescent="0.25">
      <c r="A333" s="87"/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</row>
    <row r="334" spans="1:13" x14ac:dyDescent="0.25">
      <c r="A334" s="87"/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</row>
    <row r="335" spans="1:13" x14ac:dyDescent="0.25">
      <c r="A335" s="87"/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</row>
    <row r="336" spans="1:13" x14ac:dyDescent="0.25">
      <c r="A336" s="87"/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</row>
    <row r="337" spans="1:13" x14ac:dyDescent="0.25">
      <c r="A337" s="87"/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</row>
    <row r="338" spans="1:13" x14ac:dyDescent="0.25">
      <c r="A338" s="87"/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</row>
    <row r="339" spans="1:13" x14ac:dyDescent="0.25">
      <c r="A339" s="87"/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</row>
    <row r="340" spans="1:13" x14ac:dyDescent="0.25">
      <c r="A340" s="87"/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</row>
    <row r="341" spans="1:13" x14ac:dyDescent="0.25">
      <c r="A341" s="87"/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</row>
    <row r="342" spans="1:13" x14ac:dyDescent="0.25">
      <c r="A342" s="87"/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</row>
    <row r="343" spans="1:13" x14ac:dyDescent="0.25">
      <c r="A343" s="87"/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</row>
    <row r="344" spans="1:13" x14ac:dyDescent="0.25">
      <c r="A344" s="87"/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</row>
    <row r="345" spans="1:13" x14ac:dyDescent="0.25">
      <c r="A345" s="87"/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</row>
    <row r="346" spans="1:13" x14ac:dyDescent="0.25">
      <c r="A346" s="87"/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</row>
    <row r="347" spans="1:13" x14ac:dyDescent="0.25">
      <c r="A347" s="87"/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</row>
    <row r="348" spans="1:13" x14ac:dyDescent="0.25">
      <c r="A348" s="87"/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</row>
    <row r="349" spans="1:13" x14ac:dyDescent="0.25">
      <c r="A349" s="87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</row>
    <row r="350" spans="1:13" x14ac:dyDescent="0.25">
      <c r="A350" s="87"/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</row>
    <row r="351" spans="1:13" x14ac:dyDescent="0.25">
      <c r="A351" s="87"/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</row>
    <row r="352" spans="1:13" x14ac:dyDescent="0.25">
      <c r="A352" s="87"/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</row>
    <row r="353" spans="1:13" x14ac:dyDescent="0.25">
      <c r="A353" s="87"/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</row>
    <row r="354" spans="1:13" x14ac:dyDescent="0.25">
      <c r="A354" s="87"/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</row>
    <row r="355" spans="1:13" x14ac:dyDescent="0.25">
      <c r="A355" s="87"/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</row>
    <row r="356" spans="1:13" x14ac:dyDescent="0.25">
      <c r="A356" s="87"/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</row>
    <row r="357" spans="1:13" x14ac:dyDescent="0.25">
      <c r="A357" s="87"/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</row>
    <row r="358" spans="1:13" x14ac:dyDescent="0.25">
      <c r="A358" s="87"/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</row>
    <row r="359" spans="1:13" x14ac:dyDescent="0.25">
      <c r="A359" s="87"/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</row>
    <row r="360" spans="1:13" x14ac:dyDescent="0.25">
      <c r="A360" s="87"/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</row>
    <row r="361" spans="1:13" x14ac:dyDescent="0.25">
      <c r="A361" s="87"/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</row>
    <row r="362" spans="1:13" x14ac:dyDescent="0.25">
      <c r="A362" s="87"/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</row>
    <row r="363" spans="1:13" x14ac:dyDescent="0.25">
      <c r="A363" s="87"/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</row>
    <row r="364" spans="1:13" x14ac:dyDescent="0.25">
      <c r="A364" s="87"/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</row>
    <row r="365" spans="1:13" x14ac:dyDescent="0.25">
      <c r="A365" s="87"/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</row>
    <row r="366" spans="1:13" x14ac:dyDescent="0.25">
      <c r="A366" s="87"/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</row>
    <row r="367" spans="1:13" x14ac:dyDescent="0.25">
      <c r="A367" s="87"/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</row>
    <row r="368" spans="1:13" x14ac:dyDescent="0.25">
      <c r="A368" s="87"/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</row>
    <row r="369" spans="1:13" x14ac:dyDescent="0.25">
      <c r="A369" s="87"/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</row>
    <row r="370" spans="1:13" x14ac:dyDescent="0.25">
      <c r="A370" s="87"/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</row>
    <row r="371" spans="1:13" x14ac:dyDescent="0.25">
      <c r="A371" s="87"/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</row>
    <row r="372" spans="1:13" x14ac:dyDescent="0.25">
      <c r="A372" s="87"/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</row>
    <row r="373" spans="1:13" x14ac:dyDescent="0.25">
      <c r="A373" s="87"/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</row>
    <row r="374" spans="1:13" x14ac:dyDescent="0.25">
      <c r="A374" s="87"/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</row>
    <row r="375" spans="1:13" x14ac:dyDescent="0.25">
      <c r="A375" s="87"/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</row>
    <row r="376" spans="1:13" x14ac:dyDescent="0.25">
      <c r="A376" s="87"/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</row>
    <row r="377" spans="1:13" x14ac:dyDescent="0.25">
      <c r="A377" s="87"/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</row>
    <row r="378" spans="1:13" x14ac:dyDescent="0.25">
      <c r="A378" s="87"/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</row>
    <row r="379" spans="1:13" x14ac:dyDescent="0.25">
      <c r="A379" s="87"/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</row>
    <row r="380" spans="1:13" x14ac:dyDescent="0.25">
      <c r="A380" s="87"/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</row>
    <row r="381" spans="1:13" x14ac:dyDescent="0.25">
      <c r="A381" s="87"/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</row>
    <row r="382" spans="1:13" x14ac:dyDescent="0.25">
      <c r="A382" s="87"/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</row>
    <row r="383" spans="1:13" x14ac:dyDescent="0.25">
      <c r="A383" s="87"/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</row>
    <row r="384" spans="1:13" x14ac:dyDescent="0.25">
      <c r="A384" s="87"/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</row>
    <row r="385" spans="1:13" x14ac:dyDescent="0.25">
      <c r="A385" s="87"/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</row>
    <row r="386" spans="1:13" x14ac:dyDescent="0.25">
      <c r="A386" s="87"/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</row>
    <row r="387" spans="1:13" x14ac:dyDescent="0.25">
      <c r="A387" s="87"/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</row>
    <row r="388" spans="1:13" x14ac:dyDescent="0.25">
      <c r="A388" s="87"/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7"/>
      <c r="M388" s="87"/>
    </row>
    <row r="389" spans="1:13" x14ac:dyDescent="0.25">
      <c r="A389" s="87"/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</row>
    <row r="390" spans="1:13" x14ac:dyDescent="0.25">
      <c r="A390" s="87"/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</row>
    <row r="391" spans="1:13" x14ac:dyDescent="0.25">
      <c r="A391" s="87"/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</row>
    <row r="392" spans="1:13" x14ac:dyDescent="0.25">
      <c r="A392" s="87"/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</row>
    <row r="393" spans="1:13" x14ac:dyDescent="0.25">
      <c r="A393" s="87"/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7"/>
      <c r="M393" s="87"/>
    </row>
    <row r="394" spans="1:13" x14ac:dyDescent="0.25">
      <c r="A394" s="87"/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</row>
    <row r="395" spans="1:13" x14ac:dyDescent="0.25">
      <c r="A395" s="87"/>
      <c r="B395" s="87"/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7"/>
    </row>
    <row r="396" spans="1:13" x14ac:dyDescent="0.25">
      <c r="A396" s="87"/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</row>
    <row r="397" spans="1:13" x14ac:dyDescent="0.25">
      <c r="A397" s="87"/>
      <c r="B397" s="87"/>
      <c r="C397" s="87"/>
      <c r="D397" s="87"/>
      <c r="E397" s="87"/>
      <c r="F397" s="87"/>
      <c r="G397" s="87"/>
      <c r="H397" s="87"/>
      <c r="I397" s="87"/>
      <c r="J397" s="87"/>
      <c r="K397" s="87"/>
      <c r="L397" s="87"/>
      <c r="M397" s="87"/>
    </row>
    <row r="398" spans="1:13" x14ac:dyDescent="0.25">
      <c r="A398" s="87"/>
      <c r="B398" s="87"/>
      <c r="C398" s="87"/>
      <c r="D398" s="87"/>
      <c r="E398" s="87"/>
      <c r="F398" s="87"/>
      <c r="G398" s="87"/>
      <c r="H398" s="87"/>
      <c r="I398" s="87"/>
      <c r="J398" s="87"/>
      <c r="K398" s="87"/>
      <c r="L398" s="87"/>
      <c r="M398" s="87"/>
    </row>
    <row r="399" spans="1:13" x14ac:dyDescent="0.25">
      <c r="A399" s="87"/>
      <c r="B399" s="87"/>
      <c r="C399" s="87"/>
      <c r="D399" s="87"/>
      <c r="E399" s="87"/>
      <c r="F399" s="87"/>
      <c r="G399" s="87"/>
      <c r="H399" s="87"/>
      <c r="I399" s="87"/>
      <c r="J399" s="87"/>
      <c r="K399" s="87"/>
      <c r="L399" s="87"/>
      <c r="M399" s="87"/>
    </row>
    <row r="400" spans="1:13" x14ac:dyDescent="0.25">
      <c r="A400" s="87"/>
      <c r="B400" s="87"/>
      <c r="C400" s="87"/>
      <c r="D400" s="87"/>
      <c r="E400" s="87"/>
      <c r="F400" s="87"/>
      <c r="G400" s="87"/>
      <c r="H400" s="87"/>
      <c r="I400" s="87"/>
      <c r="J400" s="87"/>
      <c r="K400" s="87"/>
      <c r="L400" s="87"/>
      <c r="M400" s="87"/>
    </row>
    <row r="401" spans="1:13" x14ac:dyDescent="0.25">
      <c r="A401" s="87"/>
      <c r="B401" s="87"/>
      <c r="C401" s="87"/>
      <c r="D401" s="87"/>
      <c r="E401" s="87"/>
      <c r="F401" s="87"/>
      <c r="G401" s="87"/>
      <c r="H401" s="87"/>
      <c r="I401" s="87"/>
      <c r="J401" s="87"/>
      <c r="K401" s="87"/>
      <c r="L401" s="87"/>
      <c r="M401" s="87"/>
    </row>
    <row r="402" spans="1:13" x14ac:dyDescent="0.25">
      <c r="A402" s="87"/>
      <c r="B402" s="87"/>
      <c r="C402" s="87"/>
      <c r="D402" s="87"/>
      <c r="E402" s="87"/>
      <c r="F402" s="87"/>
      <c r="G402" s="87"/>
      <c r="H402" s="87"/>
      <c r="I402" s="87"/>
      <c r="J402" s="87"/>
      <c r="K402" s="87"/>
      <c r="L402" s="87"/>
      <c r="M402" s="87"/>
    </row>
    <row r="403" spans="1:13" x14ac:dyDescent="0.25">
      <c r="A403" s="87"/>
      <c r="B403" s="87"/>
      <c r="C403" s="87"/>
      <c r="D403" s="87"/>
      <c r="E403" s="87"/>
      <c r="F403" s="87"/>
      <c r="G403" s="87"/>
      <c r="H403" s="87"/>
      <c r="I403" s="87"/>
      <c r="J403" s="87"/>
      <c r="K403" s="87"/>
      <c r="L403" s="87"/>
      <c r="M403" s="87"/>
    </row>
    <row r="404" spans="1:13" x14ac:dyDescent="0.25">
      <c r="A404" s="87"/>
      <c r="B404" s="87"/>
      <c r="C404" s="87"/>
      <c r="D404" s="87"/>
      <c r="E404" s="87"/>
      <c r="F404" s="87"/>
      <c r="G404" s="87"/>
      <c r="H404" s="87"/>
      <c r="I404" s="87"/>
      <c r="J404" s="87"/>
      <c r="K404" s="87"/>
      <c r="L404" s="87"/>
      <c r="M404" s="87"/>
    </row>
    <row r="405" spans="1:13" x14ac:dyDescent="0.25">
      <c r="A405" s="87"/>
      <c r="B405" s="87"/>
      <c r="C405" s="87"/>
      <c r="D405" s="87"/>
      <c r="E405" s="87"/>
      <c r="F405" s="87"/>
      <c r="G405" s="87"/>
      <c r="H405" s="87"/>
      <c r="I405" s="87"/>
      <c r="J405" s="87"/>
      <c r="K405" s="87"/>
      <c r="L405" s="87"/>
      <c r="M405" s="87"/>
    </row>
    <row r="406" spans="1:13" x14ac:dyDescent="0.25">
      <c r="A406" s="87"/>
      <c r="B406" s="87"/>
      <c r="C406" s="87"/>
      <c r="D406" s="87"/>
      <c r="E406" s="87"/>
      <c r="F406" s="87"/>
      <c r="G406" s="87"/>
      <c r="H406" s="87"/>
      <c r="I406" s="87"/>
      <c r="J406" s="87"/>
      <c r="K406" s="87"/>
      <c r="L406" s="87"/>
      <c r="M406" s="87"/>
    </row>
    <row r="407" spans="1:13" x14ac:dyDescent="0.25">
      <c r="A407" s="87"/>
      <c r="B407" s="87"/>
      <c r="C407" s="87"/>
      <c r="D407" s="87"/>
      <c r="E407" s="87"/>
      <c r="F407" s="87"/>
      <c r="G407" s="87"/>
      <c r="H407" s="87"/>
      <c r="I407" s="87"/>
      <c r="J407" s="87"/>
      <c r="K407" s="87"/>
      <c r="L407" s="87"/>
      <c r="M407" s="87"/>
    </row>
    <row r="408" spans="1:13" x14ac:dyDescent="0.25">
      <c r="A408" s="87"/>
      <c r="B408" s="87"/>
      <c r="C408" s="87"/>
      <c r="D408" s="87"/>
      <c r="E408" s="87"/>
      <c r="F408" s="87"/>
      <c r="G408" s="87"/>
      <c r="H408" s="87"/>
      <c r="I408" s="87"/>
      <c r="J408" s="87"/>
      <c r="K408" s="87"/>
      <c r="L408" s="87"/>
      <c r="M408" s="87"/>
    </row>
    <row r="409" spans="1:13" x14ac:dyDescent="0.25">
      <c r="A409" s="87"/>
      <c r="B409" s="87"/>
      <c r="C409" s="87"/>
      <c r="D409" s="87"/>
      <c r="E409" s="87"/>
      <c r="F409" s="87"/>
      <c r="G409" s="87"/>
      <c r="H409" s="87"/>
      <c r="I409" s="87"/>
      <c r="J409" s="87"/>
      <c r="K409" s="87"/>
      <c r="L409" s="87"/>
      <c r="M409" s="87"/>
    </row>
    <row r="410" spans="1:13" x14ac:dyDescent="0.25">
      <c r="A410" s="87"/>
      <c r="B410" s="87"/>
      <c r="C410" s="87"/>
      <c r="D410" s="87"/>
      <c r="E410" s="87"/>
      <c r="F410" s="87"/>
      <c r="G410" s="87"/>
      <c r="H410" s="87"/>
      <c r="I410" s="87"/>
      <c r="J410" s="87"/>
      <c r="K410" s="87"/>
      <c r="L410" s="87"/>
      <c r="M410" s="87"/>
    </row>
    <row r="411" spans="1:13" x14ac:dyDescent="0.25">
      <c r="A411" s="87"/>
      <c r="B411" s="87"/>
      <c r="C411" s="87"/>
      <c r="D411" s="87"/>
      <c r="E411" s="87"/>
      <c r="F411" s="87"/>
      <c r="G411" s="87"/>
      <c r="H411" s="87"/>
      <c r="I411" s="87"/>
      <c r="J411" s="87"/>
      <c r="K411" s="87"/>
      <c r="L411" s="87"/>
      <c r="M411" s="87"/>
    </row>
    <row r="412" spans="1:13" x14ac:dyDescent="0.25">
      <c r="A412" s="87"/>
      <c r="B412" s="87"/>
      <c r="C412" s="87"/>
      <c r="D412" s="87"/>
      <c r="E412" s="87"/>
      <c r="F412" s="87"/>
      <c r="G412" s="87"/>
      <c r="H412" s="87"/>
      <c r="I412" s="87"/>
      <c r="J412" s="87"/>
      <c r="K412" s="87"/>
      <c r="L412" s="87"/>
      <c r="M412" s="87"/>
    </row>
    <row r="413" spans="1:13" x14ac:dyDescent="0.25">
      <c r="A413" s="87"/>
      <c r="B413" s="87"/>
      <c r="C413" s="87"/>
      <c r="D413" s="87"/>
      <c r="E413" s="87"/>
      <c r="F413" s="87"/>
      <c r="G413" s="87"/>
      <c r="H413" s="87"/>
      <c r="I413" s="87"/>
      <c r="J413" s="87"/>
      <c r="K413" s="87"/>
      <c r="L413" s="87"/>
      <c r="M413" s="87"/>
    </row>
    <row r="414" spans="1:13" x14ac:dyDescent="0.25">
      <c r="A414" s="87"/>
      <c r="B414" s="87"/>
      <c r="C414" s="87"/>
      <c r="D414" s="87"/>
      <c r="E414" s="87"/>
      <c r="F414" s="87"/>
      <c r="G414" s="87"/>
      <c r="H414" s="87"/>
      <c r="I414" s="87"/>
      <c r="J414" s="87"/>
      <c r="K414" s="87"/>
      <c r="L414" s="87"/>
      <c r="M414" s="87"/>
    </row>
    <row r="415" spans="1:13" x14ac:dyDescent="0.25">
      <c r="A415" s="87"/>
      <c r="B415" s="87"/>
      <c r="C415" s="87"/>
      <c r="D415" s="87"/>
      <c r="E415" s="87"/>
      <c r="F415" s="87"/>
      <c r="G415" s="87"/>
      <c r="H415" s="87"/>
      <c r="I415" s="87"/>
      <c r="J415" s="87"/>
      <c r="K415" s="87"/>
      <c r="L415" s="87"/>
      <c r="M415" s="87"/>
    </row>
    <row r="416" spans="1:13" x14ac:dyDescent="0.25">
      <c r="A416" s="87"/>
      <c r="B416" s="87"/>
      <c r="C416" s="87"/>
      <c r="D416" s="87"/>
      <c r="E416" s="87"/>
      <c r="F416" s="87"/>
      <c r="G416" s="87"/>
      <c r="H416" s="87"/>
      <c r="I416" s="87"/>
      <c r="J416" s="87"/>
      <c r="K416" s="87"/>
      <c r="L416" s="87"/>
      <c r="M416" s="87"/>
    </row>
    <row r="417" spans="1:13" x14ac:dyDescent="0.25">
      <c r="A417" s="87"/>
      <c r="B417" s="87"/>
      <c r="C417" s="87"/>
      <c r="D417" s="87"/>
      <c r="E417" s="87"/>
      <c r="F417" s="87"/>
      <c r="G417" s="87"/>
      <c r="H417" s="87"/>
      <c r="I417" s="87"/>
      <c r="J417" s="87"/>
      <c r="K417" s="87"/>
      <c r="L417" s="87"/>
      <c r="M417" s="87"/>
    </row>
    <row r="418" spans="1:13" x14ac:dyDescent="0.25">
      <c r="A418" s="87"/>
      <c r="B418" s="87"/>
      <c r="C418" s="87"/>
      <c r="D418" s="87"/>
      <c r="E418" s="87"/>
      <c r="F418" s="87"/>
      <c r="G418" s="87"/>
      <c r="H418" s="87"/>
      <c r="I418" s="87"/>
      <c r="J418" s="87"/>
      <c r="K418" s="87"/>
      <c r="L418" s="87"/>
      <c r="M418" s="87"/>
    </row>
    <row r="419" spans="1:13" x14ac:dyDescent="0.25">
      <c r="A419" s="87"/>
      <c r="B419" s="87"/>
      <c r="C419" s="87"/>
      <c r="D419" s="87"/>
      <c r="E419" s="87"/>
      <c r="F419" s="87"/>
      <c r="G419" s="87"/>
      <c r="H419" s="87"/>
      <c r="I419" s="87"/>
      <c r="J419" s="87"/>
      <c r="K419" s="87"/>
      <c r="L419" s="87"/>
      <c r="M419" s="87"/>
    </row>
    <row r="420" spans="1:13" x14ac:dyDescent="0.25">
      <c r="A420" s="87"/>
      <c r="B420" s="87"/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</row>
    <row r="421" spans="1:13" x14ac:dyDescent="0.25">
      <c r="A421" s="87"/>
      <c r="B421" s="87"/>
      <c r="C421" s="87"/>
      <c r="D421" s="87"/>
      <c r="E421" s="87"/>
      <c r="F421" s="87"/>
      <c r="G421" s="87"/>
      <c r="H421" s="87"/>
      <c r="I421" s="87"/>
      <c r="J421" s="87"/>
      <c r="K421" s="87"/>
      <c r="L421" s="87"/>
      <c r="M421" s="87"/>
    </row>
    <row r="422" spans="1:13" x14ac:dyDescent="0.25">
      <c r="A422" s="87"/>
      <c r="B422" s="87"/>
      <c r="C422" s="87"/>
      <c r="D422" s="87"/>
      <c r="E422" s="87"/>
      <c r="F422" s="87"/>
      <c r="G422" s="87"/>
      <c r="H422" s="87"/>
      <c r="I422" s="87"/>
      <c r="J422" s="87"/>
      <c r="K422" s="87"/>
      <c r="L422" s="87"/>
      <c r="M422" s="87"/>
    </row>
    <row r="423" spans="1:13" x14ac:dyDescent="0.25">
      <c r="A423" s="87"/>
      <c r="B423" s="87"/>
      <c r="C423" s="87"/>
      <c r="D423" s="87"/>
      <c r="E423" s="87"/>
      <c r="F423" s="87"/>
      <c r="G423" s="87"/>
      <c r="H423" s="87"/>
      <c r="I423" s="87"/>
      <c r="J423" s="87"/>
      <c r="K423" s="87"/>
      <c r="L423" s="87"/>
      <c r="M423" s="87"/>
    </row>
    <row r="424" spans="1:13" x14ac:dyDescent="0.25">
      <c r="A424" s="87"/>
      <c r="B424" s="87"/>
      <c r="C424" s="87"/>
      <c r="D424" s="87"/>
      <c r="E424" s="87"/>
      <c r="F424" s="87"/>
      <c r="G424" s="87"/>
      <c r="H424" s="87"/>
      <c r="I424" s="87"/>
      <c r="J424" s="87"/>
      <c r="K424" s="87"/>
      <c r="L424" s="87"/>
      <c r="M424" s="87"/>
    </row>
    <row r="425" spans="1:13" x14ac:dyDescent="0.25">
      <c r="A425" s="87"/>
      <c r="B425" s="87"/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7"/>
    </row>
    <row r="426" spans="1:13" x14ac:dyDescent="0.25">
      <c r="A426" s="87"/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</row>
    <row r="427" spans="1:13" x14ac:dyDescent="0.25">
      <c r="A427" s="87"/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</row>
    <row r="428" spans="1:13" x14ac:dyDescent="0.25">
      <c r="A428" s="87"/>
      <c r="B428" s="87"/>
      <c r="C428" s="87"/>
      <c r="D428" s="87"/>
      <c r="E428" s="87"/>
      <c r="F428" s="87"/>
      <c r="G428" s="87"/>
      <c r="H428" s="87"/>
      <c r="I428" s="87"/>
      <c r="J428" s="87"/>
      <c r="K428" s="87"/>
      <c r="L428" s="87"/>
      <c r="M428" s="87"/>
    </row>
    <row r="429" spans="1:13" x14ac:dyDescent="0.25">
      <c r="A429" s="87"/>
      <c r="B429" s="87"/>
      <c r="C429" s="87"/>
      <c r="D429" s="87"/>
      <c r="E429" s="87"/>
      <c r="F429" s="87"/>
      <c r="G429" s="87"/>
      <c r="H429" s="87"/>
      <c r="I429" s="87"/>
      <c r="J429" s="87"/>
      <c r="K429" s="87"/>
      <c r="L429" s="87"/>
      <c r="M429" s="87"/>
    </row>
    <row r="430" spans="1:13" x14ac:dyDescent="0.25">
      <c r="A430" s="87"/>
      <c r="B430" s="87"/>
      <c r="C430" s="87"/>
      <c r="D430" s="87"/>
      <c r="E430" s="87"/>
      <c r="F430" s="87"/>
      <c r="G430" s="87"/>
      <c r="H430" s="87"/>
      <c r="I430" s="87"/>
      <c r="J430" s="87"/>
      <c r="K430" s="87"/>
      <c r="L430" s="87"/>
      <c r="M430" s="87"/>
    </row>
    <row r="431" spans="1:13" x14ac:dyDescent="0.25">
      <c r="A431" s="87"/>
      <c r="B431" s="87"/>
      <c r="C431" s="87"/>
      <c r="D431" s="87"/>
      <c r="E431" s="87"/>
      <c r="F431" s="87"/>
      <c r="G431" s="87"/>
      <c r="H431" s="87"/>
      <c r="I431" s="87"/>
      <c r="J431" s="87"/>
      <c r="K431" s="87"/>
      <c r="L431" s="87"/>
      <c r="M431" s="87"/>
    </row>
    <row r="432" spans="1:13" x14ac:dyDescent="0.25">
      <c r="A432" s="87"/>
      <c r="B432" s="87"/>
      <c r="C432" s="87"/>
      <c r="D432" s="87"/>
      <c r="E432" s="87"/>
      <c r="F432" s="87"/>
      <c r="G432" s="87"/>
      <c r="H432" s="87"/>
      <c r="I432" s="87"/>
      <c r="J432" s="87"/>
      <c r="K432" s="87"/>
      <c r="L432" s="87"/>
      <c r="M432" s="87"/>
    </row>
    <row r="433" spans="1:13" x14ac:dyDescent="0.25">
      <c r="A433" s="87"/>
      <c r="B433" s="87"/>
      <c r="C433" s="87"/>
      <c r="D433" s="87"/>
      <c r="E433" s="87"/>
      <c r="F433" s="87"/>
      <c r="G433" s="87"/>
      <c r="H433" s="87"/>
      <c r="I433" s="87"/>
      <c r="J433" s="87"/>
      <c r="K433" s="87"/>
      <c r="L433" s="87"/>
      <c r="M433" s="87"/>
    </row>
    <row r="434" spans="1:13" x14ac:dyDescent="0.25">
      <c r="A434" s="87"/>
      <c r="B434" s="87"/>
      <c r="C434" s="87"/>
      <c r="D434" s="87"/>
      <c r="E434" s="87"/>
      <c r="F434" s="87"/>
      <c r="G434" s="87"/>
      <c r="H434" s="87"/>
      <c r="I434" s="87"/>
      <c r="J434" s="87"/>
      <c r="K434" s="87"/>
      <c r="L434" s="87"/>
      <c r="M434" s="87"/>
    </row>
    <row r="435" spans="1:13" x14ac:dyDescent="0.25">
      <c r="A435" s="87"/>
      <c r="B435" s="87"/>
      <c r="C435" s="87"/>
      <c r="D435" s="87"/>
      <c r="E435" s="87"/>
      <c r="F435" s="87"/>
      <c r="G435" s="87"/>
      <c r="H435" s="87"/>
      <c r="I435" s="87"/>
      <c r="J435" s="87"/>
      <c r="K435" s="87"/>
      <c r="L435" s="87"/>
      <c r="M435" s="87"/>
    </row>
    <row r="436" spans="1:13" x14ac:dyDescent="0.25">
      <c r="A436" s="87"/>
      <c r="B436" s="87"/>
      <c r="C436" s="87"/>
      <c r="D436" s="87"/>
      <c r="E436" s="87"/>
      <c r="F436" s="87"/>
      <c r="G436" s="87"/>
      <c r="H436" s="87"/>
      <c r="I436" s="87"/>
      <c r="J436" s="87"/>
      <c r="K436" s="87"/>
      <c r="L436" s="87"/>
      <c r="M436" s="87"/>
    </row>
    <row r="437" spans="1:13" x14ac:dyDescent="0.25">
      <c r="A437" s="87"/>
      <c r="B437" s="87"/>
      <c r="C437" s="87"/>
      <c r="D437" s="87"/>
      <c r="E437" s="87"/>
      <c r="F437" s="87"/>
      <c r="G437" s="87"/>
      <c r="H437" s="87"/>
      <c r="I437" s="87"/>
      <c r="J437" s="87"/>
      <c r="K437" s="87"/>
      <c r="L437" s="87"/>
      <c r="M437" s="87"/>
    </row>
    <row r="438" spans="1:13" x14ac:dyDescent="0.25">
      <c r="A438" s="87"/>
      <c r="B438" s="87"/>
      <c r="C438" s="87"/>
      <c r="D438" s="87"/>
      <c r="E438" s="87"/>
      <c r="F438" s="87"/>
      <c r="G438" s="87"/>
      <c r="H438" s="87"/>
      <c r="I438" s="87"/>
      <c r="J438" s="87"/>
      <c r="K438" s="87"/>
      <c r="L438" s="87"/>
      <c r="M438" s="87"/>
    </row>
    <row r="439" spans="1:13" x14ac:dyDescent="0.25">
      <c r="A439" s="87"/>
      <c r="B439" s="87"/>
      <c r="C439" s="87"/>
      <c r="D439" s="87"/>
      <c r="E439" s="87"/>
      <c r="F439" s="87"/>
      <c r="G439" s="87"/>
      <c r="H439" s="87"/>
      <c r="I439" s="87"/>
      <c r="J439" s="87"/>
      <c r="K439" s="87"/>
      <c r="L439" s="87"/>
      <c r="M439" s="87"/>
    </row>
    <row r="440" spans="1:13" x14ac:dyDescent="0.25">
      <c r="A440" s="87"/>
      <c r="B440" s="87"/>
      <c r="C440" s="87"/>
      <c r="D440" s="87"/>
      <c r="E440" s="87"/>
      <c r="F440" s="87"/>
      <c r="G440" s="87"/>
      <c r="H440" s="87"/>
      <c r="I440" s="87"/>
      <c r="J440" s="87"/>
      <c r="K440" s="87"/>
      <c r="L440" s="87"/>
      <c r="M440" s="87"/>
    </row>
    <row r="441" spans="1:13" x14ac:dyDescent="0.25">
      <c r="A441" s="87"/>
      <c r="B441" s="87"/>
      <c r="C441" s="87"/>
      <c r="D441" s="87"/>
      <c r="E441" s="87"/>
      <c r="F441" s="87"/>
      <c r="G441" s="87"/>
      <c r="H441" s="87"/>
      <c r="I441" s="87"/>
      <c r="J441" s="87"/>
      <c r="K441" s="87"/>
      <c r="L441" s="87"/>
      <c r="M441" s="87"/>
    </row>
    <row r="442" spans="1:13" x14ac:dyDescent="0.25">
      <c r="A442" s="87"/>
      <c r="B442" s="87"/>
      <c r="C442" s="87"/>
      <c r="D442" s="87"/>
      <c r="E442" s="87"/>
      <c r="F442" s="87"/>
      <c r="G442" s="87"/>
      <c r="H442" s="87"/>
      <c r="I442" s="87"/>
      <c r="J442" s="87"/>
      <c r="K442" s="87"/>
      <c r="L442" s="87"/>
      <c r="M442" s="87"/>
    </row>
    <row r="443" spans="1:13" x14ac:dyDescent="0.25">
      <c r="A443" s="87"/>
      <c r="B443" s="87"/>
      <c r="C443" s="87"/>
      <c r="D443" s="87"/>
      <c r="E443" s="87"/>
      <c r="F443" s="87"/>
      <c r="G443" s="87"/>
      <c r="H443" s="87"/>
      <c r="I443" s="87"/>
      <c r="J443" s="87"/>
      <c r="K443" s="87"/>
      <c r="L443" s="87"/>
      <c r="M443" s="87"/>
    </row>
    <row r="444" spans="1:13" x14ac:dyDescent="0.25">
      <c r="A444" s="87"/>
      <c r="B444" s="87"/>
      <c r="C444" s="87"/>
      <c r="D444" s="87"/>
      <c r="E444" s="87"/>
      <c r="F444" s="87"/>
      <c r="G444" s="87"/>
      <c r="H444" s="87"/>
      <c r="I444" s="87"/>
      <c r="J444" s="87"/>
      <c r="K444" s="87"/>
      <c r="L444" s="87"/>
      <c r="M444" s="87"/>
    </row>
    <row r="445" spans="1:13" x14ac:dyDescent="0.25">
      <c r="A445" s="87"/>
      <c r="B445" s="87"/>
      <c r="C445" s="87"/>
      <c r="D445" s="87"/>
      <c r="E445" s="87"/>
      <c r="F445" s="87"/>
      <c r="G445" s="87"/>
      <c r="H445" s="87"/>
      <c r="I445" s="87"/>
      <c r="J445" s="87"/>
      <c r="K445" s="87"/>
      <c r="L445" s="87"/>
      <c r="M445" s="87"/>
    </row>
    <row r="446" spans="1:13" x14ac:dyDescent="0.25">
      <c r="A446" s="87"/>
      <c r="B446" s="87"/>
      <c r="C446" s="87"/>
      <c r="D446" s="87"/>
      <c r="E446" s="87"/>
      <c r="F446" s="87"/>
      <c r="G446" s="87"/>
      <c r="H446" s="87"/>
      <c r="I446" s="87"/>
      <c r="J446" s="87"/>
      <c r="K446" s="87"/>
      <c r="L446" s="87"/>
      <c r="M446" s="87"/>
    </row>
    <row r="447" spans="1:13" x14ac:dyDescent="0.25">
      <c r="A447" s="87"/>
      <c r="B447" s="87"/>
      <c r="C447" s="87"/>
      <c r="D447" s="87"/>
      <c r="E447" s="87"/>
      <c r="F447" s="87"/>
      <c r="G447" s="87"/>
      <c r="H447" s="87"/>
      <c r="I447" s="87"/>
      <c r="J447" s="87"/>
      <c r="K447" s="87"/>
      <c r="L447" s="87"/>
      <c r="M447" s="87"/>
    </row>
    <row r="448" spans="1:13" x14ac:dyDescent="0.25">
      <c r="A448" s="87"/>
      <c r="B448" s="87"/>
      <c r="C448" s="87"/>
      <c r="D448" s="87"/>
      <c r="E448" s="87"/>
      <c r="F448" s="87"/>
      <c r="G448" s="87"/>
      <c r="H448" s="87"/>
      <c r="I448" s="87"/>
      <c r="J448" s="87"/>
      <c r="K448" s="87"/>
      <c r="L448" s="87"/>
      <c r="M448" s="87"/>
    </row>
    <row r="449" spans="1:13" x14ac:dyDescent="0.25">
      <c r="A449" s="87"/>
      <c r="B449" s="87"/>
      <c r="C449" s="87"/>
      <c r="D449" s="87"/>
      <c r="E449" s="87"/>
      <c r="F449" s="87"/>
      <c r="G449" s="87"/>
      <c r="H449" s="87"/>
      <c r="I449" s="87"/>
      <c r="J449" s="87"/>
      <c r="K449" s="87"/>
      <c r="L449" s="87"/>
      <c r="M449" s="87"/>
    </row>
    <row r="450" spans="1:13" x14ac:dyDescent="0.25">
      <c r="A450" s="87"/>
      <c r="B450" s="87"/>
      <c r="C450" s="87"/>
      <c r="D450" s="87"/>
      <c r="E450" s="87"/>
      <c r="F450" s="87"/>
      <c r="G450" s="87"/>
      <c r="H450" s="87"/>
      <c r="I450" s="87"/>
      <c r="J450" s="87"/>
      <c r="K450" s="87"/>
      <c r="L450" s="87"/>
      <c r="M450" s="87"/>
    </row>
    <row r="451" spans="1:13" x14ac:dyDescent="0.25">
      <c r="A451" s="87"/>
      <c r="B451" s="87"/>
      <c r="C451" s="87"/>
      <c r="D451" s="87"/>
      <c r="E451" s="87"/>
      <c r="F451" s="87"/>
      <c r="G451" s="87"/>
      <c r="H451" s="87"/>
      <c r="I451" s="87"/>
      <c r="J451" s="87"/>
      <c r="K451" s="87"/>
      <c r="L451" s="87"/>
      <c r="M451" s="87"/>
    </row>
    <row r="452" spans="1:13" x14ac:dyDescent="0.25">
      <c r="A452" s="87"/>
      <c r="B452" s="87"/>
      <c r="C452" s="87"/>
      <c r="D452" s="87"/>
      <c r="E452" s="87"/>
      <c r="F452" s="87"/>
      <c r="G452" s="87"/>
      <c r="H452" s="87"/>
      <c r="I452" s="87"/>
      <c r="J452" s="87"/>
      <c r="K452" s="87"/>
      <c r="L452" s="87"/>
      <c r="M452" s="87"/>
    </row>
    <row r="453" spans="1:13" x14ac:dyDescent="0.25">
      <c r="A453" s="87"/>
      <c r="B453" s="87"/>
      <c r="C453" s="87"/>
      <c r="D453" s="87"/>
      <c r="E453" s="87"/>
      <c r="F453" s="87"/>
      <c r="G453" s="87"/>
      <c r="H453" s="87"/>
      <c r="I453" s="87"/>
      <c r="J453" s="87"/>
      <c r="K453" s="87"/>
      <c r="L453" s="87"/>
      <c r="M453" s="87"/>
    </row>
    <row r="454" spans="1:13" x14ac:dyDescent="0.25">
      <c r="A454" s="87"/>
      <c r="B454" s="87"/>
      <c r="C454" s="87"/>
      <c r="D454" s="87"/>
      <c r="E454" s="87"/>
      <c r="F454" s="87"/>
      <c r="G454" s="87"/>
      <c r="H454" s="87"/>
      <c r="I454" s="87"/>
      <c r="J454" s="87"/>
      <c r="K454" s="87"/>
      <c r="L454" s="87"/>
      <c r="M454" s="87"/>
    </row>
    <row r="455" spans="1:13" x14ac:dyDescent="0.25">
      <c r="A455" s="87"/>
      <c r="B455" s="87"/>
      <c r="C455" s="87"/>
      <c r="D455" s="87"/>
      <c r="E455" s="87"/>
      <c r="F455" s="87"/>
      <c r="G455" s="87"/>
      <c r="H455" s="87"/>
      <c r="I455" s="87"/>
      <c r="J455" s="87"/>
      <c r="K455" s="87"/>
      <c r="L455" s="87"/>
      <c r="M455" s="87"/>
    </row>
    <row r="456" spans="1:13" x14ac:dyDescent="0.25">
      <c r="A456" s="87"/>
      <c r="B456" s="87"/>
      <c r="C456" s="87"/>
      <c r="D456" s="87"/>
      <c r="E456" s="87"/>
      <c r="F456" s="87"/>
      <c r="G456" s="87"/>
      <c r="H456" s="87"/>
      <c r="I456" s="87"/>
      <c r="J456" s="87"/>
      <c r="K456" s="87"/>
      <c r="L456" s="87"/>
      <c r="M456" s="87"/>
    </row>
    <row r="457" spans="1:13" x14ac:dyDescent="0.25">
      <c r="A457" s="87"/>
      <c r="B457" s="87"/>
      <c r="C457" s="87"/>
      <c r="D457" s="87"/>
      <c r="E457" s="87"/>
      <c r="F457" s="87"/>
      <c r="G457" s="87"/>
      <c r="H457" s="87"/>
      <c r="I457" s="87"/>
      <c r="J457" s="87"/>
      <c r="K457" s="87"/>
      <c r="L457" s="87"/>
      <c r="M457" s="87"/>
    </row>
    <row r="458" spans="1:13" x14ac:dyDescent="0.25">
      <c r="A458" s="87"/>
      <c r="B458" s="87"/>
      <c r="C458" s="87"/>
      <c r="D458" s="87"/>
      <c r="E458" s="87"/>
      <c r="F458" s="87"/>
      <c r="G458" s="87"/>
      <c r="H458" s="87"/>
      <c r="I458" s="87"/>
      <c r="J458" s="87"/>
      <c r="K458" s="87"/>
      <c r="L458" s="87"/>
      <c r="M458" s="87"/>
    </row>
    <row r="459" spans="1:13" x14ac:dyDescent="0.25">
      <c r="A459" s="87"/>
      <c r="B459" s="87"/>
      <c r="C459" s="87"/>
      <c r="D459" s="87"/>
      <c r="E459" s="87"/>
      <c r="F459" s="87"/>
      <c r="G459" s="87"/>
      <c r="H459" s="87"/>
      <c r="I459" s="87"/>
      <c r="J459" s="87"/>
      <c r="K459" s="87"/>
      <c r="L459" s="87"/>
      <c r="M459" s="87"/>
    </row>
    <row r="460" spans="1:13" x14ac:dyDescent="0.25">
      <c r="A460" s="87"/>
      <c r="B460" s="87"/>
      <c r="C460" s="87"/>
      <c r="D460" s="87"/>
      <c r="E460" s="87"/>
      <c r="F460" s="87"/>
      <c r="G460" s="87"/>
      <c r="H460" s="87"/>
      <c r="I460" s="87"/>
      <c r="J460" s="87"/>
      <c r="K460" s="87"/>
      <c r="L460" s="87"/>
      <c r="M460" s="87"/>
    </row>
    <row r="461" spans="1:13" x14ac:dyDescent="0.25">
      <c r="A461" s="87"/>
      <c r="B461" s="87"/>
      <c r="C461" s="87"/>
      <c r="D461" s="87"/>
      <c r="E461" s="87"/>
      <c r="F461" s="87"/>
      <c r="G461" s="87"/>
      <c r="H461" s="87"/>
      <c r="I461" s="87"/>
      <c r="J461" s="87"/>
      <c r="K461" s="87"/>
      <c r="L461" s="87"/>
      <c r="M461" s="87"/>
    </row>
    <row r="462" spans="1:13" x14ac:dyDescent="0.25">
      <c r="A462" s="87"/>
      <c r="B462" s="87"/>
      <c r="C462" s="87"/>
      <c r="D462" s="87"/>
      <c r="E462" s="87"/>
      <c r="F462" s="87"/>
      <c r="G462" s="87"/>
      <c r="H462" s="87"/>
      <c r="I462" s="87"/>
      <c r="J462" s="87"/>
      <c r="K462" s="87"/>
      <c r="L462" s="87"/>
      <c r="M462" s="87"/>
    </row>
    <row r="463" spans="1:13" x14ac:dyDescent="0.25">
      <c r="A463" s="87"/>
      <c r="B463" s="87"/>
      <c r="C463" s="87"/>
      <c r="D463" s="87"/>
      <c r="E463" s="87"/>
      <c r="F463" s="87"/>
      <c r="G463" s="87"/>
      <c r="H463" s="87"/>
      <c r="I463" s="87"/>
      <c r="J463" s="87"/>
      <c r="K463" s="87"/>
      <c r="L463" s="87"/>
      <c r="M463" s="87"/>
    </row>
    <row r="464" spans="1:13" x14ac:dyDescent="0.25">
      <c r="A464" s="87"/>
      <c r="B464" s="87"/>
      <c r="C464" s="87"/>
      <c r="D464" s="87"/>
      <c r="E464" s="87"/>
      <c r="F464" s="87"/>
      <c r="G464" s="87"/>
      <c r="H464" s="87"/>
      <c r="I464" s="87"/>
      <c r="J464" s="87"/>
      <c r="K464" s="87"/>
      <c r="L464" s="87"/>
      <c r="M464" s="87"/>
    </row>
    <row r="465" spans="1:13" x14ac:dyDescent="0.25">
      <c r="A465" s="87"/>
      <c r="B465" s="87"/>
      <c r="C465" s="87"/>
      <c r="D465" s="87"/>
      <c r="E465" s="87"/>
      <c r="F465" s="87"/>
      <c r="G465" s="87"/>
      <c r="H465" s="87"/>
      <c r="I465" s="87"/>
      <c r="J465" s="87"/>
      <c r="K465" s="87"/>
      <c r="L465" s="87"/>
      <c r="M465" s="87"/>
    </row>
    <row r="466" spans="1:13" x14ac:dyDescent="0.25">
      <c r="A466" s="87"/>
      <c r="B466" s="87"/>
      <c r="C466" s="87"/>
      <c r="D466" s="87"/>
      <c r="E466" s="87"/>
      <c r="F466" s="87"/>
      <c r="G466" s="87"/>
      <c r="H466" s="87"/>
      <c r="I466" s="87"/>
      <c r="J466" s="87"/>
      <c r="K466" s="87"/>
      <c r="L466" s="87"/>
      <c r="M466" s="87"/>
    </row>
    <row r="467" spans="1:13" x14ac:dyDescent="0.25">
      <c r="A467" s="87"/>
      <c r="B467" s="87"/>
      <c r="C467" s="87"/>
      <c r="D467" s="87"/>
      <c r="E467" s="87"/>
      <c r="F467" s="87"/>
      <c r="G467" s="87"/>
      <c r="H467" s="87"/>
      <c r="I467" s="87"/>
      <c r="J467" s="87"/>
      <c r="K467" s="87"/>
      <c r="L467" s="87"/>
      <c r="M467" s="87"/>
    </row>
    <row r="468" spans="1:13" x14ac:dyDescent="0.25">
      <c r="A468" s="87"/>
      <c r="B468" s="87"/>
      <c r="C468" s="87"/>
      <c r="D468" s="87"/>
      <c r="E468" s="87"/>
      <c r="F468" s="87"/>
      <c r="G468" s="87"/>
      <c r="H468" s="87"/>
      <c r="I468" s="87"/>
      <c r="J468" s="87"/>
      <c r="K468" s="87"/>
      <c r="L468" s="87"/>
      <c r="M468" s="87"/>
    </row>
    <row r="469" spans="1:13" x14ac:dyDescent="0.25">
      <c r="A469" s="87"/>
      <c r="B469" s="87"/>
      <c r="C469" s="87"/>
      <c r="D469" s="87"/>
      <c r="E469" s="87"/>
      <c r="F469" s="87"/>
      <c r="G469" s="87"/>
      <c r="H469" s="87"/>
      <c r="I469" s="87"/>
      <c r="J469" s="87"/>
      <c r="K469" s="87"/>
      <c r="L469" s="87"/>
      <c r="M469" s="87"/>
    </row>
    <row r="470" spans="1:13" x14ac:dyDescent="0.25">
      <c r="A470" s="87"/>
      <c r="B470" s="87"/>
      <c r="C470" s="87"/>
      <c r="D470" s="87"/>
      <c r="E470" s="87"/>
      <c r="F470" s="87"/>
      <c r="G470" s="87"/>
      <c r="H470" s="87"/>
      <c r="I470" s="87"/>
      <c r="J470" s="87"/>
      <c r="K470" s="87"/>
      <c r="L470" s="87"/>
      <c r="M470" s="87"/>
    </row>
    <row r="471" spans="1:13" x14ac:dyDescent="0.25">
      <c r="A471" s="87"/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7"/>
      <c r="M471" s="87"/>
    </row>
    <row r="472" spans="1:13" x14ac:dyDescent="0.25">
      <c r="A472" s="87"/>
      <c r="B472" s="87"/>
      <c r="C472" s="87"/>
      <c r="D472" s="87"/>
      <c r="E472" s="87"/>
      <c r="F472" s="87"/>
      <c r="G472" s="87"/>
      <c r="H472" s="87"/>
      <c r="I472" s="87"/>
      <c r="J472" s="87"/>
      <c r="K472" s="87"/>
      <c r="L472" s="87"/>
      <c r="M472" s="87"/>
    </row>
    <row r="473" spans="1:13" x14ac:dyDescent="0.25">
      <c r="A473" s="87"/>
      <c r="B473" s="87"/>
      <c r="C473" s="87"/>
      <c r="D473" s="87"/>
      <c r="E473" s="87"/>
      <c r="F473" s="87"/>
      <c r="G473" s="87"/>
      <c r="H473" s="87"/>
      <c r="I473" s="87"/>
      <c r="J473" s="87"/>
      <c r="K473" s="87"/>
      <c r="L473" s="87"/>
      <c r="M473" s="87"/>
    </row>
    <row r="474" spans="1:13" x14ac:dyDescent="0.25">
      <c r="A474" s="87"/>
      <c r="B474" s="87"/>
      <c r="C474" s="87"/>
      <c r="D474" s="87"/>
      <c r="E474" s="87"/>
      <c r="F474" s="87"/>
      <c r="G474" s="87"/>
      <c r="H474" s="87"/>
      <c r="I474" s="87"/>
      <c r="J474" s="87"/>
      <c r="K474" s="87"/>
      <c r="L474" s="87"/>
      <c r="M474" s="87"/>
    </row>
    <row r="475" spans="1:13" x14ac:dyDescent="0.25">
      <c r="A475" s="87"/>
      <c r="B475" s="87"/>
      <c r="C475" s="87"/>
      <c r="D475" s="87"/>
      <c r="E475" s="87"/>
      <c r="F475" s="87"/>
      <c r="G475" s="87"/>
      <c r="H475" s="87"/>
      <c r="I475" s="87"/>
      <c r="J475" s="87"/>
      <c r="K475" s="87"/>
      <c r="L475" s="87"/>
      <c r="M475" s="87"/>
    </row>
    <row r="476" spans="1:13" x14ac:dyDescent="0.25">
      <c r="A476" s="87"/>
      <c r="B476" s="87"/>
      <c r="C476" s="87"/>
      <c r="D476" s="87"/>
      <c r="E476" s="87"/>
      <c r="F476" s="87"/>
      <c r="G476" s="87"/>
      <c r="H476" s="87"/>
      <c r="I476" s="87"/>
      <c r="J476" s="87"/>
      <c r="K476" s="87"/>
      <c r="L476" s="87"/>
      <c r="M476" s="87"/>
    </row>
    <row r="477" spans="1:13" x14ac:dyDescent="0.25">
      <c r="A477" s="87"/>
      <c r="B477" s="87"/>
      <c r="C477" s="87"/>
      <c r="D477" s="87"/>
      <c r="E477" s="87"/>
      <c r="F477" s="87"/>
      <c r="G477" s="87"/>
      <c r="H477" s="87"/>
      <c r="I477" s="87"/>
      <c r="J477" s="87"/>
      <c r="K477" s="87"/>
      <c r="L477" s="87"/>
      <c r="M477" s="87"/>
    </row>
    <row r="478" spans="1:13" x14ac:dyDescent="0.25">
      <c r="A478" s="87"/>
      <c r="B478" s="87"/>
      <c r="C478" s="87"/>
      <c r="D478" s="87"/>
      <c r="E478" s="87"/>
      <c r="F478" s="87"/>
      <c r="G478" s="87"/>
      <c r="H478" s="87"/>
      <c r="I478" s="87"/>
      <c r="J478" s="87"/>
      <c r="K478" s="87"/>
      <c r="L478" s="87"/>
      <c r="M478" s="87"/>
    </row>
    <row r="479" spans="1:13" x14ac:dyDescent="0.25">
      <c r="A479" s="87"/>
      <c r="B479" s="87"/>
      <c r="C479" s="87"/>
      <c r="D479" s="87"/>
      <c r="E479" s="87"/>
      <c r="F479" s="87"/>
      <c r="G479" s="87"/>
      <c r="H479" s="87"/>
      <c r="I479" s="87"/>
      <c r="J479" s="87"/>
      <c r="K479" s="87"/>
      <c r="L479" s="87"/>
      <c r="M479" s="87"/>
    </row>
    <row r="480" spans="1:13" x14ac:dyDescent="0.25">
      <c r="A480" s="87"/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</row>
    <row r="481" spans="1:13" x14ac:dyDescent="0.25">
      <c r="A481" s="87"/>
      <c r="B481" s="87"/>
      <c r="C481" s="87"/>
      <c r="D481" s="87"/>
      <c r="E481" s="87"/>
      <c r="F481" s="87"/>
      <c r="G481" s="87"/>
      <c r="H481" s="87"/>
      <c r="I481" s="87"/>
      <c r="J481" s="87"/>
      <c r="K481" s="87"/>
      <c r="L481" s="87"/>
      <c r="M481" s="87"/>
    </row>
    <row r="482" spans="1:13" x14ac:dyDescent="0.25">
      <c r="A482" s="87"/>
      <c r="B482" s="87"/>
      <c r="C482" s="87"/>
      <c r="D482" s="87"/>
      <c r="E482" s="87"/>
      <c r="F482" s="87"/>
      <c r="G482" s="87"/>
      <c r="H482" s="87"/>
      <c r="I482" s="87"/>
      <c r="J482" s="87"/>
      <c r="K482" s="87"/>
      <c r="L482" s="87"/>
      <c r="M482" s="87"/>
    </row>
    <row r="483" spans="1:13" x14ac:dyDescent="0.25">
      <c r="A483" s="87"/>
      <c r="B483" s="87"/>
      <c r="C483" s="87"/>
      <c r="D483" s="87"/>
      <c r="E483" s="87"/>
      <c r="F483" s="87"/>
      <c r="G483" s="87"/>
      <c r="H483" s="87"/>
      <c r="I483" s="87"/>
      <c r="J483" s="87"/>
      <c r="K483" s="87"/>
      <c r="L483" s="87"/>
      <c r="M483" s="87"/>
    </row>
    <row r="484" spans="1:13" x14ac:dyDescent="0.25">
      <c r="A484" s="87"/>
      <c r="B484" s="87"/>
      <c r="C484" s="87"/>
      <c r="D484" s="87"/>
      <c r="E484" s="87"/>
      <c r="F484" s="87"/>
      <c r="G484" s="87"/>
      <c r="H484" s="87"/>
      <c r="I484" s="87"/>
      <c r="J484" s="87"/>
      <c r="K484" s="87"/>
      <c r="L484" s="87"/>
      <c r="M484" s="87"/>
    </row>
    <row r="485" spans="1:13" x14ac:dyDescent="0.25">
      <c r="A485" s="87"/>
      <c r="B485" s="87"/>
      <c r="C485" s="87"/>
      <c r="D485" s="87"/>
      <c r="E485" s="87"/>
      <c r="F485" s="87"/>
      <c r="G485" s="87"/>
      <c r="H485" s="87"/>
      <c r="I485" s="87"/>
      <c r="J485" s="87"/>
      <c r="K485" s="87"/>
      <c r="L485" s="87"/>
      <c r="M485" s="87"/>
    </row>
    <row r="486" spans="1:13" x14ac:dyDescent="0.25">
      <c r="A486" s="87"/>
      <c r="B486" s="87"/>
      <c r="C486" s="87"/>
      <c r="D486" s="87"/>
      <c r="E486" s="87"/>
      <c r="F486" s="87"/>
      <c r="G486" s="87"/>
      <c r="H486" s="87"/>
      <c r="I486" s="87"/>
      <c r="J486" s="87"/>
      <c r="K486" s="87"/>
      <c r="L486" s="87"/>
      <c r="M486" s="87"/>
    </row>
    <row r="487" spans="1:13" x14ac:dyDescent="0.25">
      <c r="A487" s="87"/>
      <c r="B487" s="87"/>
      <c r="C487" s="87"/>
      <c r="D487" s="87"/>
      <c r="E487" s="87"/>
      <c r="F487" s="87"/>
      <c r="G487" s="87"/>
      <c r="H487" s="87"/>
      <c r="I487" s="87"/>
      <c r="J487" s="87"/>
      <c r="K487" s="87"/>
      <c r="L487" s="87"/>
      <c r="M487" s="87"/>
    </row>
    <row r="488" spans="1:13" x14ac:dyDescent="0.25">
      <c r="A488" s="87"/>
      <c r="B488" s="87"/>
      <c r="C488" s="87"/>
      <c r="D488" s="87"/>
      <c r="E488" s="87"/>
      <c r="F488" s="87"/>
      <c r="G488" s="87"/>
      <c r="H488" s="87"/>
      <c r="I488" s="87"/>
      <c r="J488" s="87"/>
      <c r="K488" s="87"/>
      <c r="L488" s="87"/>
      <c r="M488" s="87"/>
    </row>
    <row r="489" spans="1:13" x14ac:dyDescent="0.25">
      <c r="A489" s="87"/>
      <c r="B489" s="87"/>
      <c r="C489" s="87"/>
      <c r="D489" s="87"/>
      <c r="E489" s="87"/>
      <c r="F489" s="87"/>
      <c r="G489" s="87"/>
      <c r="H489" s="87"/>
      <c r="I489" s="87"/>
      <c r="J489" s="87"/>
      <c r="K489" s="87"/>
      <c r="L489" s="87"/>
      <c r="M489" s="87"/>
    </row>
    <row r="490" spans="1:13" x14ac:dyDescent="0.25">
      <c r="A490" s="87"/>
      <c r="B490" s="87"/>
      <c r="C490" s="87"/>
      <c r="D490" s="87"/>
      <c r="E490" s="87"/>
      <c r="F490" s="87"/>
      <c r="G490" s="87"/>
      <c r="H490" s="87"/>
      <c r="I490" s="87"/>
      <c r="J490" s="87"/>
      <c r="K490" s="87"/>
      <c r="L490" s="87"/>
      <c r="M490" s="87"/>
    </row>
    <row r="491" spans="1:13" x14ac:dyDescent="0.25">
      <c r="A491" s="87"/>
      <c r="B491" s="87"/>
      <c r="C491" s="87"/>
      <c r="D491" s="87"/>
      <c r="E491" s="87"/>
      <c r="F491" s="87"/>
      <c r="G491" s="87"/>
      <c r="H491" s="87"/>
      <c r="I491" s="87"/>
      <c r="J491" s="87"/>
      <c r="K491" s="87"/>
      <c r="L491" s="87"/>
      <c r="M491" s="87"/>
    </row>
    <row r="492" spans="1:13" x14ac:dyDescent="0.25">
      <c r="A492" s="87"/>
      <c r="B492" s="87"/>
      <c r="C492" s="87"/>
      <c r="D492" s="87"/>
      <c r="E492" s="87"/>
      <c r="F492" s="87"/>
      <c r="G492" s="87"/>
      <c r="H492" s="87"/>
      <c r="I492" s="87"/>
      <c r="J492" s="87"/>
      <c r="K492" s="87"/>
      <c r="L492" s="87"/>
      <c r="M492" s="87"/>
    </row>
    <row r="493" spans="1:13" x14ac:dyDescent="0.25">
      <c r="A493" s="87"/>
      <c r="B493" s="87"/>
      <c r="C493" s="87"/>
      <c r="D493" s="87"/>
      <c r="E493" s="87"/>
      <c r="F493" s="87"/>
      <c r="G493" s="87"/>
      <c r="H493" s="87"/>
      <c r="I493" s="87"/>
      <c r="J493" s="87"/>
      <c r="K493" s="87"/>
      <c r="L493" s="87"/>
      <c r="M493" s="87"/>
    </row>
    <row r="494" spans="1:13" x14ac:dyDescent="0.25">
      <c r="A494" s="87"/>
      <c r="B494" s="87"/>
      <c r="C494" s="87"/>
      <c r="D494" s="87"/>
      <c r="E494" s="87"/>
      <c r="F494" s="87"/>
      <c r="G494" s="87"/>
      <c r="H494" s="87"/>
      <c r="I494" s="87"/>
      <c r="J494" s="87"/>
      <c r="K494" s="87"/>
      <c r="L494" s="87"/>
      <c r="M494" s="87"/>
    </row>
    <row r="495" spans="1:13" x14ac:dyDescent="0.25">
      <c r="A495" s="87"/>
      <c r="B495" s="87"/>
      <c r="C495" s="87"/>
      <c r="D495" s="87"/>
      <c r="E495" s="87"/>
      <c r="F495" s="87"/>
      <c r="G495" s="87"/>
      <c r="H495" s="87"/>
      <c r="I495" s="87"/>
      <c r="J495" s="87"/>
      <c r="K495" s="87"/>
      <c r="L495" s="87"/>
      <c r="M495" s="87"/>
    </row>
    <row r="496" spans="1:13" x14ac:dyDescent="0.25">
      <c r="A496" s="87"/>
      <c r="B496" s="87"/>
      <c r="C496" s="87"/>
      <c r="D496" s="87"/>
      <c r="E496" s="87"/>
      <c r="F496" s="87"/>
      <c r="G496" s="87"/>
      <c r="H496" s="87"/>
      <c r="I496" s="87"/>
      <c r="J496" s="87"/>
      <c r="K496" s="87"/>
      <c r="L496" s="87"/>
      <c r="M496" s="87"/>
    </row>
    <row r="497" spans="1:13" x14ac:dyDescent="0.25">
      <c r="A497" s="87"/>
      <c r="B497" s="87"/>
      <c r="C497" s="87"/>
      <c r="D497" s="87"/>
      <c r="E497" s="87"/>
      <c r="F497" s="87"/>
      <c r="G497" s="87"/>
      <c r="H497" s="87"/>
      <c r="I497" s="87"/>
      <c r="J497" s="87"/>
      <c r="K497" s="87"/>
      <c r="L497" s="87"/>
      <c r="M497" s="87"/>
    </row>
    <row r="498" spans="1:13" x14ac:dyDescent="0.25">
      <c r="A498" s="87"/>
      <c r="B498" s="87"/>
      <c r="C498" s="87"/>
      <c r="D498" s="87"/>
      <c r="E498" s="87"/>
      <c r="F498" s="87"/>
      <c r="G498" s="87"/>
      <c r="H498" s="87"/>
      <c r="I498" s="87"/>
      <c r="J498" s="87"/>
      <c r="K498" s="87"/>
      <c r="L498" s="87"/>
      <c r="M498" s="87"/>
    </row>
    <row r="499" spans="1:13" x14ac:dyDescent="0.25">
      <c r="A499" s="87"/>
      <c r="B499" s="87"/>
      <c r="C499" s="87"/>
      <c r="D499" s="87"/>
      <c r="E499" s="87"/>
      <c r="F499" s="87"/>
      <c r="G499" s="87"/>
      <c r="H499" s="87"/>
      <c r="I499" s="87"/>
      <c r="J499" s="87"/>
      <c r="K499" s="87"/>
      <c r="L499" s="87"/>
      <c r="M499" s="87"/>
    </row>
    <row r="500" spans="1:13" x14ac:dyDescent="0.25">
      <c r="A500" s="87"/>
      <c r="B500" s="87"/>
      <c r="C500" s="87"/>
      <c r="D500" s="87"/>
      <c r="E500" s="87"/>
      <c r="F500" s="87"/>
      <c r="G500" s="87"/>
      <c r="H500" s="87"/>
      <c r="I500" s="87"/>
      <c r="J500" s="87"/>
      <c r="K500" s="87"/>
      <c r="L500" s="87"/>
      <c r="M500" s="87"/>
    </row>
    <row r="501" spans="1:13" hidden="1" x14ac:dyDescent="0.25">
      <c r="H501" s="87"/>
      <c r="I501" s="87"/>
      <c r="J501" s="87"/>
      <c r="K501" s="87"/>
    </row>
    <row r="502" spans="1:13" hidden="1" x14ac:dyDescent="0.25">
      <c r="H502" s="87"/>
      <c r="I502" s="87"/>
      <c r="J502" s="87"/>
      <c r="K502" s="87"/>
    </row>
    <row r="503" spans="1:13" hidden="1" x14ac:dyDescent="0.25">
      <c r="H503" s="87"/>
      <c r="I503" s="87"/>
      <c r="J503" s="87"/>
      <c r="K503" s="87"/>
    </row>
    <row r="504" spans="1:13" hidden="1" x14ac:dyDescent="0.25">
      <c r="H504" s="87"/>
      <c r="I504" s="87"/>
      <c r="J504" s="87"/>
      <c r="K504" s="87"/>
    </row>
    <row r="505" spans="1:13" hidden="1" x14ac:dyDescent="0.25">
      <c r="H505" s="87"/>
      <c r="I505" s="87"/>
      <c r="J505" s="87"/>
      <c r="K505" s="87"/>
    </row>
    <row r="506" spans="1:13" hidden="1" x14ac:dyDescent="0.25">
      <c r="H506" s="87"/>
      <c r="I506" s="87"/>
      <c r="J506" s="87"/>
      <c r="K506" s="87"/>
    </row>
    <row r="507" spans="1:13" hidden="1" x14ac:dyDescent="0.25">
      <c r="H507" s="87"/>
      <c r="I507" s="87"/>
      <c r="J507" s="87"/>
      <c r="K507" s="87"/>
    </row>
    <row r="508" spans="1:13" hidden="1" x14ac:dyDescent="0.25">
      <c r="H508" s="87"/>
      <c r="I508" s="87"/>
      <c r="J508" s="87"/>
      <c r="K508" s="87"/>
    </row>
    <row r="509" spans="1:13" hidden="1" x14ac:dyDescent="0.25">
      <c r="H509" s="87"/>
      <c r="I509" s="87"/>
      <c r="J509" s="87"/>
      <c r="K509" s="87"/>
    </row>
    <row r="510" spans="1:13" hidden="1" x14ac:dyDescent="0.25">
      <c r="H510" s="87"/>
      <c r="I510" s="87"/>
      <c r="J510" s="87"/>
      <c r="K510" s="87"/>
    </row>
    <row r="511" spans="1:13" hidden="1" x14ac:dyDescent="0.25">
      <c r="H511" s="87"/>
      <c r="I511" s="87"/>
      <c r="J511" s="87"/>
      <c r="K511" s="87"/>
    </row>
    <row r="512" spans="1:13" hidden="1" x14ac:dyDescent="0.25">
      <c r="H512" s="87"/>
      <c r="I512" s="87"/>
      <c r="J512" s="87"/>
      <c r="K512" s="87"/>
    </row>
    <row r="513" spans="8:11" hidden="1" x14ac:dyDescent="0.25">
      <c r="H513" s="87"/>
      <c r="I513" s="87"/>
      <c r="J513" s="87"/>
      <c r="K513" s="87"/>
    </row>
    <row r="514" spans="8:11" hidden="1" x14ac:dyDescent="0.25">
      <c r="H514" s="87"/>
      <c r="I514" s="87"/>
      <c r="J514" s="87"/>
      <c r="K514" s="87"/>
    </row>
    <row r="515" spans="8:11" hidden="1" x14ac:dyDescent="0.25">
      <c r="H515" s="87"/>
      <c r="I515" s="87"/>
      <c r="J515" s="87"/>
      <c r="K515" s="87"/>
    </row>
  </sheetData>
  <autoFilter ref="H23:K139" xr:uid="{00000000-0001-0000-0200-000000000000}"/>
  <phoneticPr fontId="7" type="noConversion"/>
  <conditionalFormatting sqref="D4:E4">
    <cfRule type="cellIs" dxfId="8" priority="2" operator="notBetween">
      <formula>-1</formula>
      <formula>1</formula>
    </cfRule>
  </conditionalFormatting>
  <conditionalFormatting sqref="D16:E16">
    <cfRule type="cellIs" dxfId="7" priority="3" operator="notBetween">
      <formula>-1</formula>
      <formula>1</formula>
    </cfRule>
  </conditionalFormatting>
  <conditionalFormatting sqref="D32:E32">
    <cfRule type="cellIs" dxfId="6" priority="10" operator="notBetween">
      <formula>-1</formula>
      <formula>1</formula>
    </cfRule>
  </conditionalFormatting>
  <conditionalFormatting sqref="F6:F13">
    <cfRule type="cellIs" dxfId="5" priority="12" operator="lessThan">
      <formula>-1</formula>
    </cfRule>
  </conditionalFormatting>
  <conditionalFormatting sqref="F18:F29">
    <cfRule type="cellIs" dxfId="4" priority="6" operator="lessThan">
      <formula>-1</formula>
    </cfRule>
  </conditionalFormatting>
  <conditionalFormatting sqref="F34:F57">
    <cfRule type="cellIs" dxfId="3" priority="1" operator="lessThan">
      <formula>-1</formula>
    </cfRule>
  </conditionalFormatting>
  <conditionalFormatting sqref="I22">
    <cfRule type="cellIs" dxfId="2" priority="8" operator="notBetween">
      <formula>-1</formula>
      <formula>1</formula>
    </cfRule>
  </conditionalFormatting>
  <conditionalFormatting sqref="I4:J4">
    <cfRule type="cellIs" dxfId="1" priority="7" operator="notBetween">
      <formula>-1</formula>
      <formula>1</formula>
    </cfRule>
  </conditionalFormatting>
  <conditionalFormatting sqref="K24:K138">
    <cfRule type="cellIs" dxfId="0" priority="13" operator="lessThanOr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A5ADBE86533F4BB33EF516192173CE" ma:contentTypeVersion="6" ma:contentTypeDescription="Create a new document." ma:contentTypeScope="" ma:versionID="3387201b7c6ca973dfdeaa0ecd76273d">
  <xsd:schema xmlns:xsd="http://www.w3.org/2001/XMLSchema" xmlns:xs="http://www.w3.org/2001/XMLSchema" xmlns:p="http://schemas.microsoft.com/office/2006/metadata/properties" xmlns:ns2="f0af8808-8843-444b-94c4-86c0ae1c93da" xmlns:ns3="a9c38585-5fcb-43a1-9e74-2a80ca4f53bb" targetNamespace="http://schemas.microsoft.com/office/2006/metadata/properties" ma:root="true" ma:fieldsID="06769fd6a661746fa206fe150991829e" ns2:_="" ns3:_="">
    <xsd:import namespace="f0af8808-8843-444b-94c4-86c0ae1c93da"/>
    <xsd:import namespace="a9c38585-5fcb-43a1-9e74-2a80ca4f53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8808-8843-444b-94c4-86c0ae1c93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c38585-5fcb-43a1-9e74-2a80ca4f53b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2BB258-4CE4-4B9C-B21B-451AA716E438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a9c38585-5fcb-43a1-9e74-2a80ca4f53bb"/>
    <ds:schemaRef ds:uri="f0af8808-8843-444b-94c4-86c0ae1c93da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9C0FC80-D8D4-4186-A014-EF4336C894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8808-8843-444b-94c4-86c0ae1c93da"/>
    <ds:schemaRef ds:uri="a9c38585-5fcb-43a1-9e74-2a80ca4f5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3C562A-D9FC-46DB-858E-A58823D3EA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PCA</vt:lpstr>
      <vt:lpstr>Outras ações discricionárias</vt:lpstr>
      <vt:lpstr>Resumo por unidade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Secretaria de Administração</dc:creator>
  <cp:keywords/>
  <dc:description/>
  <cp:lastModifiedBy>Fernando Potyguar de Alencar Araújo</cp:lastModifiedBy>
  <cp:revision/>
  <cp:lastPrinted>2024-02-22T19:04:31Z</cp:lastPrinted>
  <dcterms:created xsi:type="dcterms:W3CDTF">2022-06-21T18:57:23Z</dcterms:created>
  <dcterms:modified xsi:type="dcterms:W3CDTF">2024-02-29T19:12:22Z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0x010100A1A5ADBE86533F4BB33EF516192173CE</vt:lpwstr>
  </property>
</Properties>
</file>